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D:\2_NIDP\27_MYT Petition\NIDP - Reply to Data Gaps Set -1\"/>
    </mc:Choice>
  </mc:AlternateContent>
  <xr:revisionPtr revIDLastSave="0" documentId="13_ncr:1_{55CAF7FB-8216-478F-A1F2-3D3F0E998640}" xr6:coauthVersionLast="47" xr6:coauthVersionMax="47" xr10:uidLastSave="{00000000-0000-0000-0000-000000000000}"/>
  <bookViews>
    <workbookView xWindow="-98" yWindow="-98" windowWidth="20715" windowHeight="13155" activeTab="2" xr2:uid="{604932FC-4DD5-45E4-994A-99143E9C68E4}"/>
  </bookViews>
  <sheets>
    <sheet name="FA" sheetId="2" r:id="rId1"/>
    <sheet name="Dep" sheetId="4" r:id="rId2"/>
    <sheet name="FAR Mar-25" sheetId="1" r:id="rId3"/>
  </sheets>
  <definedNames>
    <definedName name="_xlnm._FilterDatabase" localSheetId="2" hidden="1">'FAR Mar-25'!$A$4:$O$540</definedName>
    <definedName name="_xlnm.Print_Area" localSheetId="1">Dep!$A$2:$E$18</definedName>
    <definedName name="_xlnm.Print_Area" localSheetId="0">FA!$A$2:$E$18</definedName>
    <definedName name="_xlnm.Print_Titles" localSheetId="2">'FAR Mar-25'!$4:$4</definedName>
  </definedNames>
  <calcPr calcId="191029" iterate="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98" i="1" l="1"/>
  <c r="M398" i="1"/>
  <c r="L398" i="1"/>
  <c r="N397" i="1"/>
  <c r="M397" i="1"/>
  <c r="L397" i="1"/>
  <c r="N396" i="1"/>
  <c r="M396" i="1"/>
  <c r="L396" i="1"/>
  <c r="N395" i="1"/>
  <c r="M395" i="1"/>
  <c r="L395" i="1"/>
  <c r="N394" i="1"/>
  <c r="M394" i="1"/>
  <c r="L394" i="1"/>
  <c r="N393" i="1"/>
  <c r="M393" i="1"/>
  <c r="L393" i="1"/>
  <c r="N392" i="1"/>
  <c r="M392" i="1"/>
  <c r="L392" i="1"/>
  <c r="J392" i="1"/>
  <c r="N391" i="1"/>
  <c r="M391" i="1"/>
  <c r="L391" i="1"/>
  <c r="J391" i="1"/>
  <c r="N390" i="1"/>
  <c r="M390" i="1"/>
  <c r="L390" i="1"/>
  <c r="J390" i="1"/>
  <c r="N389" i="1"/>
  <c r="M389" i="1"/>
  <c r="L389" i="1"/>
  <c r="N388" i="1"/>
  <c r="M388" i="1"/>
  <c r="L388" i="1"/>
  <c r="N387" i="1"/>
  <c r="M387" i="1"/>
  <c r="L387" i="1"/>
  <c r="N386" i="1"/>
  <c r="M386" i="1"/>
  <c r="L386" i="1"/>
  <c r="N385" i="1"/>
  <c r="M385" i="1"/>
  <c r="L385" i="1"/>
  <c r="N384" i="1"/>
  <c r="M384" i="1"/>
  <c r="L384" i="1"/>
  <c r="N381" i="1"/>
  <c r="M381" i="1"/>
  <c r="L381" i="1"/>
  <c r="N380" i="1"/>
  <c r="M380" i="1"/>
  <c r="L380" i="1"/>
  <c r="N379" i="1"/>
  <c r="M379" i="1"/>
  <c r="L379" i="1"/>
  <c r="N370" i="1"/>
  <c r="M370" i="1"/>
  <c r="L370" i="1"/>
  <c r="N369" i="1"/>
  <c r="M369" i="1"/>
  <c r="L369" i="1"/>
  <c r="N368" i="1"/>
  <c r="M368" i="1"/>
  <c r="L368" i="1"/>
  <c r="N325" i="1"/>
  <c r="M325" i="1"/>
  <c r="L325" i="1"/>
  <c r="N324" i="1"/>
  <c r="M324" i="1"/>
  <c r="L324" i="1"/>
  <c r="J304" i="1"/>
  <c r="M304" i="1" s="1"/>
  <c r="J303" i="1"/>
  <c r="N303" i="1" s="1"/>
  <c r="J302" i="1"/>
  <c r="L302" i="1" s="1"/>
  <c r="J289" i="1"/>
  <c r="N289" i="1" s="1"/>
  <c r="J288" i="1"/>
  <c r="M288" i="1" s="1"/>
  <c r="J287" i="1"/>
  <c r="N287" i="1" s="1"/>
  <c r="N286" i="1"/>
  <c r="M286" i="1"/>
  <c r="L286" i="1"/>
  <c r="N285" i="1"/>
  <c r="M285" i="1"/>
  <c r="L285" i="1"/>
  <c r="N279" i="1"/>
  <c r="M279" i="1"/>
  <c r="L279" i="1"/>
  <c r="N278" i="1"/>
  <c r="M278" i="1"/>
  <c r="L278" i="1"/>
  <c r="N277" i="1"/>
  <c r="M277" i="1"/>
  <c r="L277" i="1"/>
  <c r="N265" i="1"/>
  <c r="M265" i="1"/>
  <c r="L265" i="1"/>
  <c r="N264" i="1"/>
  <c r="M264" i="1"/>
  <c r="L264" i="1"/>
  <c r="N263" i="1"/>
  <c r="M263" i="1"/>
  <c r="L263" i="1"/>
  <c r="N261" i="1"/>
  <c r="M261" i="1"/>
  <c r="L261" i="1"/>
  <c r="N260" i="1"/>
  <c r="M260" i="1"/>
  <c r="L260" i="1"/>
  <c r="N259" i="1"/>
  <c r="M259" i="1"/>
  <c r="L259" i="1"/>
  <c r="N258" i="1"/>
  <c r="M258" i="1"/>
  <c r="L258" i="1"/>
  <c r="N257" i="1"/>
  <c r="M257" i="1"/>
  <c r="L257" i="1"/>
  <c r="N256" i="1"/>
  <c r="M256" i="1"/>
  <c r="L256" i="1"/>
  <c r="J254" i="1"/>
  <c r="J253" i="1"/>
  <c r="M253" i="1" s="1"/>
  <c r="J252" i="1"/>
  <c r="N248" i="1"/>
  <c r="M248" i="1"/>
  <c r="L248" i="1"/>
  <c r="N247" i="1"/>
  <c r="M247" i="1"/>
  <c r="L247" i="1"/>
  <c r="N224" i="1"/>
  <c r="M224" i="1"/>
  <c r="L224" i="1"/>
  <c r="N223" i="1"/>
  <c r="M223" i="1"/>
  <c r="L223" i="1"/>
  <c r="N221" i="1"/>
  <c r="M221" i="1"/>
  <c r="N220" i="1"/>
  <c r="M220" i="1"/>
  <c r="N219" i="1"/>
  <c r="M219" i="1"/>
  <c r="N218" i="1"/>
  <c r="M218" i="1"/>
  <c r="N212" i="1"/>
  <c r="M212" i="1"/>
  <c r="L212" i="1"/>
  <c r="N211" i="1"/>
  <c r="M211" i="1"/>
  <c r="L211" i="1"/>
  <c r="N210" i="1"/>
  <c r="M210" i="1"/>
  <c r="L210" i="1"/>
  <c r="N201" i="1"/>
  <c r="M201" i="1"/>
  <c r="L201" i="1"/>
  <c r="N200" i="1"/>
  <c r="M200" i="1"/>
  <c r="L200" i="1"/>
  <c r="N198" i="1"/>
  <c r="M198" i="1"/>
  <c r="L198" i="1"/>
  <c r="N197" i="1"/>
  <c r="M197" i="1"/>
  <c r="L197" i="1"/>
  <c r="N196" i="1"/>
  <c r="M196" i="1"/>
  <c r="L196" i="1"/>
  <c r="N195" i="1"/>
  <c r="M195" i="1"/>
  <c r="L195" i="1"/>
  <c r="N194" i="1"/>
  <c r="M194" i="1"/>
  <c r="L194" i="1"/>
  <c r="N193" i="1"/>
  <c r="M193" i="1"/>
  <c r="L193" i="1"/>
  <c r="N191" i="1"/>
  <c r="M191" i="1"/>
  <c r="L191" i="1"/>
  <c r="N190" i="1"/>
  <c r="M190" i="1"/>
  <c r="L190" i="1"/>
  <c r="N189" i="1"/>
  <c r="M189" i="1"/>
  <c r="L189" i="1"/>
  <c r="N181" i="1"/>
  <c r="M181" i="1"/>
  <c r="L181" i="1"/>
  <c r="N180" i="1"/>
  <c r="M180" i="1"/>
  <c r="L180" i="1"/>
  <c r="N179" i="1"/>
  <c r="M179" i="1"/>
  <c r="L179" i="1"/>
  <c r="N178" i="1"/>
  <c r="M178" i="1"/>
  <c r="L178" i="1"/>
  <c r="N171" i="1"/>
  <c r="M171" i="1"/>
  <c r="L171" i="1"/>
  <c r="N170" i="1"/>
  <c r="M170" i="1"/>
  <c r="L170" i="1"/>
  <c r="N169" i="1"/>
  <c r="M169" i="1"/>
  <c r="L169" i="1"/>
  <c r="N95" i="1"/>
  <c r="M95" i="1"/>
  <c r="L95" i="1"/>
  <c r="N94" i="1"/>
  <c r="M94" i="1"/>
  <c r="L94" i="1"/>
  <c r="N92" i="1"/>
  <c r="M92" i="1"/>
  <c r="L92" i="1"/>
  <c r="J92" i="1"/>
  <c r="N91" i="1"/>
  <c r="M91" i="1"/>
  <c r="L91" i="1"/>
  <c r="J91" i="1"/>
  <c r="N90" i="1"/>
  <c r="M90" i="1"/>
  <c r="L90" i="1"/>
  <c r="J90" i="1"/>
  <c r="N89" i="1"/>
  <c r="M89" i="1"/>
  <c r="L89" i="1"/>
  <c r="J89" i="1"/>
  <c r="N88" i="1"/>
  <c r="M88" i="1"/>
  <c r="L88" i="1"/>
  <c r="J88" i="1"/>
  <c r="N87" i="1"/>
  <c r="M87" i="1"/>
  <c r="L87" i="1"/>
  <c r="J87" i="1"/>
  <c r="N85" i="1"/>
  <c r="M85" i="1"/>
  <c r="L85" i="1"/>
  <c r="J85" i="1"/>
  <c r="N84" i="1"/>
  <c r="M84" i="1"/>
  <c r="L84" i="1"/>
  <c r="J84" i="1"/>
  <c r="N83" i="1"/>
  <c r="M83" i="1"/>
  <c r="L83" i="1"/>
  <c r="J83" i="1"/>
  <c r="N82" i="1"/>
  <c r="M82" i="1"/>
  <c r="L82" i="1"/>
  <c r="J82" i="1"/>
  <c r="N81" i="1"/>
  <c r="M81" i="1"/>
  <c r="L81" i="1"/>
  <c r="J81" i="1"/>
  <c r="N80" i="1"/>
  <c r="M80" i="1"/>
  <c r="L80" i="1"/>
  <c r="J80" i="1"/>
  <c r="N79" i="1"/>
  <c r="M79" i="1"/>
  <c r="L79" i="1"/>
  <c r="J79" i="1"/>
  <c r="N78" i="1"/>
  <c r="M78" i="1"/>
  <c r="L78" i="1"/>
  <c r="J78" i="1"/>
  <c r="N77" i="1"/>
  <c r="M77" i="1"/>
  <c r="L77" i="1"/>
  <c r="J77" i="1"/>
  <c r="N64" i="1"/>
  <c r="M64" i="1"/>
  <c r="L64" i="1"/>
  <c r="N63" i="1"/>
  <c r="M63" i="1"/>
  <c r="L63" i="1"/>
  <c r="N62" i="1"/>
  <c r="M62" i="1"/>
  <c r="L62" i="1"/>
  <c r="N54" i="1"/>
  <c r="M54" i="1"/>
  <c r="L54" i="1"/>
  <c r="N53" i="1"/>
  <c r="M53" i="1"/>
  <c r="L53" i="1"/>
  <c r="N52" i="1"/>
  <c r="M52" i="1"/>
  <c r="L52" i="1"/>
  <c r="N51" i="1"/>
  <c r="M51" i="1"/>
  <c r="L51" i="1"/>
  <c r="N45" i="1"/>
  <c r="M45" i="1"/>
  <c r="L45" i="1"/>
  <c r="J45" i="1"/>
  <c r="N44" i="1"/>
  <c r="M44" i="1"/>
  <c r="L44" i="1"/>
  <c r="J44" i="1"/>
  <c r="N43" i="1"/>
  <c r="M43" i="1"/>
  <c r="L43" i="1"/>
  <c r="J43" i="1"/>
  <c r="N39" i="1"/>
  <c r="M39" i="1"/>
  <c r="L39" i="1"/>
  <c r="N38" i="1"/>
  <c r="M38" i="1"/>
  <c r="L38" i="1"/>
  <c r="N304" i="1" l="1"/>
  <c r="N253" i="1"/>
  <c r="L253" i="1"/>
  <c r="L288" i="1"/>
  <c r="N288" i="1"/>
  <c r="N252" i="1"/>
  <c r="M252" i="1"/>
  <c r="M3" i="1" s="1"/>
  <c r="L252" i="1"/>
  <c r="N254" i="1"/>
  <c r="M254" i="1"/>
  <c r="L254" i="1"/>
  <c r="M302" i="1"/>
  <c r="N302" i="1"/>
  <c r="L303" i="1"/>
  <c r="L287" i="1"/>
  <c r="L289" i="1"/>
  <c r="M303" i="1"/>
  <c r="M287" i="1"/>
  <c r="M289" i="1"/>
  <c r="L304" i="1"/>
  <c r="N3" i="1" l="1"/>
  <c r="L3" i="1"/>
  <c r="N2" i="1" s="1"/>
  <c r="E3" i="1"/>
  <c r="O2" i="1" l="1"/>
</calcChain>
</file>

<file path=xl/sharedStrings.xml><?xml version="1.0" encoding="utf-8"?>
<sst xmlns="http://schemas.openxmlformats.org/spreadsheetml/2006/main" count="4156" uniqueCount="892">
  <si>
    <t>Asset</t>
  </si>
  <si>
    <t>Class</t>
  </si>
  <si>
    <t>Asset Class Description</t>
  </si>
  <si>
    <t>Accnt: APC</t>
  </si>
  <si>
    <t>Asset Classification</t>
  </si>
  <si>
    <t>Asset Description</t>
  </si>
  <si>
    <t>Cap.Date</t>
  </si>
  <si>
    <t>First Acq.</t>
  </si>
  <si>
    <t>DCStart</t>
  </si>
  <si>
    <t>Quantity</t>
  </si>
  <si>
    <t>BUn</t>
  </si>
  <si>
    <t xml:space="preserve">    Acquis.val.</t>
  </si>
  <si>
    <t xml:space="preserve">     Accum.dep.</t>
  </si>
  <si>
    <t xml:space="preserve">      Book val.</t>
  </si>
  <si>
    <t>Status</t>
  </si>
  <si>
    <t>108652</t>
  </si>
  <si>
    <t>10037001</t>
  </si>
  <si>
    <t>Transformers (Others) NIDP</t>
  </si>
  <si>
    <t>0100000032</t>
  </si>
  <si>
    <t>Transformers (Others)</t>
  </si>
  <si>
    <t>Supply of 220KV, 40kA for 3 sec, Current Transform</t>
  </si>
  <si>
    <t>NOS</t>
  </si>
  <si>
    <t>In use</t>
  </si>
  <si>
    <t>108653</t>
  </si>
  <si>
    <t>108654</t>
  </si>
  <si>
    <t>108655</t>
  </si>
  <si>
    <t>108656</t>
  </si>
  <si>
    <t>108657</t>
  </si>
  <si>
    <t>108658</t>
  </si>
  <si>
    <t>108659</t>
  </si>
  <si>
    <t>108660</t>
  </si>
  <si>
    <t>108661</t>
  </si>
  <si>
    <t>108662</t>
  </si>
  <si>
    <t>108663</t>
  </si>
  <si>
    <t>108664</t>
  </si>
  <si>
    <t>108665</t>
  </si>
  <si>
    <t>108666</t>
  </si>
  <si>
    <t>108667</t>
  </si>
  <si>
    <t>108668</t>
  </si>
  <si>
    <t>108669</t>
  </si>
  <si>
    <t>108670</t>
  </si>
  <si>
    <t>108671</t>
  </si>
  <si>
    <t>108672</t>
  </si>
  <si>
    <t>108673</t>
  </si>
  <si>
    <t>108674</t>
  </si>
  <si>
    <t>108675</t>
  </si>
  <si>
    <t>108676</t>
  </si>
  <si>
    <t>Supply of 220kV, 40kA for 3 Sec. Current Transform</t>
  </si>
  <si>
    <t>108677</t>
  </si>
  <si>
    <t>108678</t>
  </si>
  <si>
    <t>108679</t>
  </si>
  <si>
    <t>108680</t>
  </si>
  <si>
    <t>108681</t>
  </si>
  <si>
    <t>108682</t>
  </si>
  <si>
    <t>108683</t>
  </si>
  <si>
    <t>108684</t>
  </si>
  <si>
    <t>108685</t>
  </si>
  <si>
    <t>10021001</t>
  </si>
  <si>
    <t>Transformers (including foundations) NIDP</t>
  </si>
  <si>
    <t>0100000017</t>
  </si>
  <si>
    <t>Transformers (including foundations)</t>
  </si>
  <si>
    <t>Supply of N2 Fire Suppression System for Power Tr</t>
  </si>
  <si>
    <t>108685a</t>
  </si>
  <si>
    <t>108688</t>
  </si>
  <si>
    <t>10027001</t>
  </si>
  <si>
    <t>Lightning arrestors NIDP</t>
  </si>
  <si>
    <t>0100000023</t>
  </si>
  <si>
    <t>Lightning arrestors</t>
  </si>
  <si>
    <t>Lightening protection system for switchyard &amp; only</t>
  </si>
  <si>
    <t>108689</t>
  </si>
  <si>
    <t>10026001</t>
  </si>
  <si>
    <t>Fittings and apparatus NIDP</t>
  </si>
  <si>
    <t>0100000022</t>
  </si>
  <si>
    <t>Internal wiring including fittings and apparatus</t>
  </si>
  <si>
    <t>Supply of LED Lightening Fixtures etc, Supply of i</t>
  </si>
  <si>
    <t>108690</t>
  </si>
  <si>
    <t>LED light fixtures for LCLM</t>
  </si>
  <si>
    <t>108693</t>
  </si>
  <si>
    <t>10024001</t>
  </si>
  <si>
    <t>Other Assets covered NIDP</t>
  </si>
  <si>
    <t>0100000020</t>
  </si>
  <si>
    <t>Any other assets not covered above</t>
  </si>
  <si>
    <t>Supply of complete fire &amp;safety equipments for swi</t>
  </si>
  <si>
    <t>AU</t>
  </si>
  <si>
    <t>108693a</t>
  </si>
  <si>
    <t>108693b</t>
  </si>
  <si>
    <t>108696</t>
  </si>
  <si>
    <t>Supply of fire alarm system addressable for only c</t>
  </si>
  <si>
    <t>108697</t>
  </si>
  <si>
    <t>Electrical Transformers, 50000/55000 KVA, 220/11 K</t>
  </si>
  <si>
    <t>EA</t>
  </si>
  <si>
    <t>108698</t>
  </si>
  <si>
    <t>108699</t>
  </si>
  <si>
    <t>108700</t>
  </si>
  <si>
    <t>Nido Pit Mounted Scissor Lift Customized (ND-SL-15</t>
  </si>
  <si>
    <t>108701</t>
  </si>
  <si>
    <t>10031001</t>
  </si>
  <si>
    <t>Meters - NIDP</t>
  </si>
  <si>
    <t>0100000026</t>
  </si>
  <si>
    <t>Meters</t>
  </si>
  <si>
    <t>Energy METER E3M024-000*6051147 Premier 300,HT4,CI</t>
  </si>
  <si>
    <t>108701a</t>
  </si>
  <si>
    <t>Not in use</t>
  </si>
  <si>
    <t>108702</t>
  </si>
  <si>
    <t>ENERGY METER</t>
  </si>
  <si>
    <t>108702a</t>
  </si>
  <si>
    <t>108710</t>
  </si>
  <si>
    <t>Inst of 10kA, 198KV, lightening arrestor with insu</t>
  </si>
  <si>
    <t>108713</t>
  </si>
  <si>
    <t>RCC FOUNDATION FOR CIRCUIT BREAKER</t>
  </si>
  <si>
    <t>108714</t>
  </si>
  <si>
    <t>RCC FOUNDATION FO ISOLATOR RCC FOUNDATION FORR 22</t>
  </si>
  <si>
    <t>108715</t>
  </si>
  <si>
    <t>RCC Foundation for current transformer</t>
  </si>
  <si>
    <t>108716</t>
  </si>
  <si>
    <t>RCC FOUNDATION FOR 220KV CABLE SEALING END</t>
  </si>
  <si>
    <t>108717</t>
  </si>
  <si>
    <t>RCC FOUNDATION FOR 220 KV TOWER</t>
  </si>
  <si>
    <t>108719</t>
  </si>
  <si>
    <t>Supply of 10kA, 198KV ightring Arrestor with insul</t>
  </si>
  <si>
    <t>108720</t>
  </si>
  <si>
    <t>Supply of 10kA, 198KV Lightning Arrestor with ins</t>
  </si>
  <si>
    <t>108720a</t>
  </si>
  <si>
    <t>108720b</t>
  </si>
  <si>
    <t>108721</t>
  </si>
  <si>
    <t>220 kV, 40kA for 3 Sec, PT 220</t>
  </si>
  <si>
    <t>108722</t>
  </si>
  <si>
    <t>108723</t>
  </si>
  <si>
    <t>108724</t>
  </si>
  <si>
    <t>108725</t>
  </si>
  <si>
    <t>108726</t>
  </si>
  <si>
    <t>108727</t>
  </si>
  <si>
    <t>108728</t>
  </si>
  <si>
    <t>108729</t>
  </si>
  <si>
    <t>108730</t>
  </si>
  <si>
    <t>108731</t>
  </si>
  <si>
    <t>108732</t>
  </si>
  <si>
    <t>108733</t>
  </si>
  <si>
    <t>Supply of Earthing of complete switchyard GI Str</t>
  </si>
  <si>
    <t>108733a</t>
  </si>
  <si>
    <t>108733b</t>
  </si>
  <si>
    <t>108734</t>
  </si>
  <si>
    <t>Supply of ACSR Conductor</t>
  </si>
  <si>
    <t>108734a</t>
  </si>
  <si>
    <t>108734b</t>
  </si>
  <si>
    <t>108735</t>
  </si>
  <si>
    <t>Supply of 220 kv, 6 KN post insulator (BPI)</t>
  </si>
  <si>
    <t>108735a</t>
  </si>
  <si>
    <t>108735b</t>
  </si>
  <si>
    <t>108736</t>
  </si>
  <si>
    <t>SET</t>
  </si>
  <si>
    <t>108737</t>
  </si>
  <si>
    <t>supply of earthing of complete switchyard MS Rod 1</t>
  </si>
  <si>
    <t>108737a</t>
  </si>
  <si>
    <t>108737b</t>
  </si>
  <si>
    <t>108738</t>
  </si>
  <si>
    <t>Supply of String Insulators</t>
  </si>
  <si>
    <t>108738a</t>
  </si>
  <si>
    <t>108738b</t>
  </si>
  <si>
    <t>108748</t>
  </si>
  <si>
    <t>10028001</t>
  </si>
  <si>
    <t>Communication equipment NIDP</t>
  </si>
  <si>
    <t>0100000024</t>
  </si>
  <si>
    <t>Communication equipment</t>
  </si>
  <si>
    <t>Supply of SCADA for Control &amp; Monitoring of Switch</t>
  </si>
  <si>
    <t>108761</t>
  </si>
  <si>
    <t>Supply of Complete illumination &amp; Lighting of Yar</t>
  </si>
  <si>
    <t>108761a</t>
  </si>
  <si>
    <t>108762</t>
  </si>
  <si>
    <t>10025001</t>
  </si>
  <si>
    <t>Batteries NIDP</t>
  </si>
  <si>
    <t>0100000021</t>
  </si>
  <si>
    <t>Batteries</t>
  </si>
  <si>
    <t>Supply of Bateries for 5KVA UPS</t>
  </si>
  <si>
    <t>108763</t>
  </si>
  <si>
    <t>108764</t>
  </si>
  <si>
    <t>108765</t>
  </si>
  <si>
    <t>108766</t>
  </si>
  <si>
    <t>108767</t>
  </si>
  <si>
    <t>108768</t>
  </si>
  <si>
    <t>108769</t>
  </si>
  <si>
    <t>108770</t>
  </si>
  <si>
    <t>108771</t>
  </si>
  <si>
    <t>108772</t>
  </si>
  <si>
    <t>108773</t>
  </si>
  <si>
    <t>Supply of of 5KVA UPS with 220V DC Power Pack</t>
  </si>
  <si>
    <t>108774</t>
  </si>
  <si>
    <t>108775</t>
  </si>
  <si>
    <t>108776</t>
  </si>
  <si>
    <t>108777</t>
  </si>
  <si>
    <t>108778</t>
  </si>
  <si>
    <t>108779</t>
  </si>
  <si>
    <t>108780</t>
  </si>
  <si>
    <t>108781</t>
  </si>
  <si>
    <t>108782</t>
  </si>
  <si>
    <t>108783</t>
  </si>
  <si>
    <t>108785</t>
  </si>
  <si>
    <t>10029001</t>
  </si>
  <si>
    <t>Air Static conditioning NIDP</t>
  </si>
  <si>
    <t>0100000025</t>
  </si>
  <si>
    <t>Air conditioning plants</t>
  </si>
  <si>
    <t>Supply of 10NOS. 2TON 3 STAR Air Conditioner</t>
  </si>
  <si>
    <t>108786</t>
  </si>
  <si>
    <t>Supply of ABT Compliant Energy Meter with port for</t>
  </si>
  <si>
    <t>108787</t>
  </si>
  <si>
    <t>220KV BUS PT &amp; BUS COUPLER</t>
  </si>
  <si>
    <t>108788</t>
  </si>
  <si>
    <t>108789</t>
  </si>
  <si>
    <t>108790</t>
  </si>
  <si>
    <t>108791</t>
  </si>
  <si>
    <t>SUPPLY OF 220KV, 40KA FOR 3 SEC, CURRENT TRANSFROM</t>
  </si>
  <si>
    <t>108792</t>
  </si>
  <si>
    <t>108793</t>
  </si>
  <si>
    <t>108794</t>
  </si>
  <si>
    <t>108795</t>
  </si>
  <si>
    <t>Supply of 220 kV, 40kA for 3 Sec., Current Transf</t>
  </si>
  <si>
    <t>108796</t>
  </si>
  <si>
    <t>108797</t>
  </si>
  <si>
    <t>108798</t>
  </si>
  <si>
    <t>108809</t>
  </si>
  <si>
    <t>Supply of FOTE Panel with 04 direction STM -16 s</t>
  </si>
  <si>
    <t>108810</t>
  </si>
  <si>
    <t>108811</t>
  </si>
  <si>
    <t>108823</t>
  </si>
  <si>
    <t>LIU 24 Ports LC</t>
  </si>
  <si>
    <t>108824</t>
  </si>
  <si>
    <t>FLEXIBLE CAT 6 CABLE</t>
  </si>
  <si>
    <t>M</t>
  </si>
  <si>
    <t>108825</t>
  </si>
  <si>
    <t>VIVOTEK FD 9369 Indoor Dome, Fixed Lens Camera wi</t>
  </si>
  <si>
    <t>108826</t>
  </si>
  <si>
    <t>Outdoor Box/Bullet Varifocal Lens Camera with nese</t>
  </si>
  <si>
    <t>108827</t>
  </si>
  <si>
    <t>Supply of Edge Switch : 24 port layer 2 POE Manag</t>
  </si>
  <si>
    <t>108828</t>
  </si>
  <si>
    <t>Patch Panels 24 Ports</t>
  </si>
  <si>
    <t>108829</t>
  </si>
  <si>
    <t>CATCH 6 PACK CORD 1MTR &amp; CAT 6 PATCH CORD 1 MTR</t>
  </si>
  <si>
    <t>108830</t>
  </si>
  <si>
    <t>LIU 24 PORTS LC &amp; LIU 24 PORTS LC</t>
  </si>
  <si>
    <t>108831</t>
  </si>
  <si>
    <t>PIGTAIL CABLE LC TO LC &amp; PIGTAIL CABLE LC TO LC</t>
  </si>
  <si>
    <t>108832</t>
  </si>
  <si>
    <t>1 MTR LC TO LC SINGLE MODE PATCH CORD</t>
  </si>
  <si>
    <t>108833</t>
  </si>
  <si>
    <t>LABELS</t>
  </si>
  <si>
    <t>108834</t>
  </si>
  <si>
    <t>FLEXIBLE LSZH CAT 6 CABLE &amp; FLEXIBLE LSZH</t>
  </si>
  <si>
    <t>108835</t>
  </si>
  <si>
    <t>BOX WITH FACEPLATE ALONG WITH JUNCTION BOX</t>
  </si>
  <si>
    <t>108836</t>
  </si>
  <si>
    <t>AFL - SINGLE MODE OUTDOOR CORE FIBER OPTIC</t>
  </si>
  <si>
    <t>108837</t>
  </si>
  <si>
    <t>HID RP 10 MULTI CLASS READER</t>
  </si>
  <si>
    <t>108838</t>
  </si>
  <si>
    <t>1200 LB DOUBLE LEAF DOOR LOCK</t>
  </si>
  <si>
    <t>108839</t>
  </si>
  <si>
    <t>Single leaf door lock</t>
  </si>
  <si>
    <t>108840</t>
  </si>
  <si>
    <t>Egress Switch &amp; Egress Switch</t>
  </si>
  <si>
    <t>108841</t>
  </si>
  <si>
    <t>Two reader controller &amp; Two reader controller</t>
  </si>
  <si>
    <t>108842</t>
  </si>
  <si>
    <t>Eight door reader controller</t>
  </si>
  <si>
    <t>108843</t>
  </si>
  <si>
    <t>Copper flexible cable</t>
  </si>
  <si>
    <t>108844</t>
  </si>
  <si>
    <t>108845</t>
  </si>
  <si>
    <t>108846</t>
  </si>
  <si>
    <t>Multi Function Meter Type Swift Supply of ABT Comp</t>
  </si>
  <si>
    <t>108881</t>
  </si>
  <si>
    <t>SITC of HVAC Work Substation-2 -NIDP</t>
  </si>
  <si>
    <t>108882</t>
  </si>
  <si>
    <t>108883</t>
  </si>
  <si>
    <t>108884</t>
  </si>
  <si>
    <t>108885</t>
  </si>
  <si>
    <t>M2</t>
  </si>
  <si>
    <t>108891</t>
  </si>
  <si>
    <t>108892</t>
  </si>
  <si>
    <t>108893</t>
  </si>
  <si>
    <t>108894</t>
  </si>
  <si>
    <t>Inst of potential transformer for line protection</t>
  </si>
  <si>
    <t>108895</t>
  </si>
  <si>
    <t>108896</t>
  </si>
  <si>
    <t>108896a</t>
  </si>
  <si>
    <t>108896b</t>
  </si>
  <si>
    <t>108907</t>
  </si>
  <si>
    <t>Inst of earthing of complete switchyard</t>
  </si>
  <si>
    <t>108908</t>
  </si>
  <si>
    <t>Inst of lightening protection system for switchyard and only control room building</t>
  </si>
  <si>
    <t>108913</t>
  </si>
  <si>
    <t>Inst of SCADA for Control &amp; Monitoring of switchya</t>
  </si>
  <si>
    <t>108916</t>
  </si>
  <si>
    <t>Inst of internal illumination for only control &amp; r</t>
  </si>
  <si>
    <t>108917</t>
  </si>
  <si>
    <t>Inst of 10 Nos., 2 tons,3 star air conditioners</t>
  </si>
  <si>
    <t>108918</t>
  </si>
  <si>
    <t>Inst of fire alarm system</t>
  </si>
  <si>
    <t>108923</t>
  </si>
  <si>
    <t>Inst of 220/ 11kv power transformer</t>
  </si>
  <si>
    <t>108923a</t>
  </si>
  <si>
    <t>108924</t>
  </si>
  <si>
    <t>Inst of fire suppression system for power transfor</t>
  </si>
  <si>
    <t>108924a</t>
  </si>
  <si>
    <t>108928</t>
  </si>
  <si>
    <t>Inst of Earthing of complete switchyard</t>
  </si>
  <si>
    <t>108929</t>
  </si>
  <si>
    <t>Inst of LED light fixtures for LCLM</t>
  </si>
  <si>
    <t>108930</t>
  </si>
  <si>
    <t>Inst of complete fire &amp; safety equipments for swit</t>
  </si>
  <si>
    <t>108932</t>
  </si>
  <si>
    <t>Inst of 10kA, 198 KV LIGHTENING ARRESTOR WITH INSU</t>
  </si>
  <si>
    <t>108933</t>
  </si>
  <si>
    <t>108934</t>
  </si>
  <si>
    <t>Inst of ABT Compliant Energy Meter (Main &amp; Check)</t>
  </si>
  <si>
    <t>108935</t>
  </si>
  <si>
    <t>108936</t>
  </si>
  <si>
    <t>108936a</t>
  </si>
  <si>
    <t>108936b</t>
  </si>
  <si>
    <t>108937</t>
  </si>
  <si>
    <t>108938</t>
  </si>
  <si>
    <t>108938a</t>
  </si>
  <si>
    <t>108938b</t>
  </si>
  <si>
    <t>108939</t>
  </si>
  <si>
    <t>RCC Foundation for 220kV Lightning Arrestors</t>
  </si>
  <si>
    <t>108939a</t>
  </si>
  <si>
    <t>108939b</t>
  </si>
  <si>
    <t>108940</t>
  </si>
  <si>
    <t>108941</t>
  </si>
  <si>
    <t>RCC Foundation for 220kV Current Transformer</t>
  </si>
  <si>
    <t>108941a</t>
  </si>
  <si>
    <t>108942</t>
  </si>
  <si>
    <t>RCC Foundation for 220kV Circuit Breaker</t>
  </si>
  <si>
    <t>108943</t>
  </si>
  <si>
    <t>RCC Foundation for 220kV Isolators RCC Foundation</t>
  </si>
  <si>
    <t>108944</t>
  </si>
  <si>
    <t>108945</t>
  </si>
  <si>
    <t>RCC Foundation for 220kV Potential transformer/CVT</t>
  </si>
  <si>
    <t>108946</t>
  </si>
  <si>
    <t>108947</t>
  </si>
  <si>
    <t>RCC Foundation for 220kV tower</t>
  </si>
  <si>
    <t>108948</t>
  </si>
  <si>
    <t>108949</t>
  </si>
  <si>
    <t>RCC foundation for 220KV isolators RCC foundation</t>
  </si>
  <si>
    <t>108950</t>
  </si>
  <si>
    <t>RCC Foundation for 220kV BPI</t>
  </si>
  <si>
    <t>108950a</t>
  </si>
  <si>
    <t>108950b</t>
  </si>
  <si>
    <t>108951</t>
  </si>
  <si>
    <t>108952</t>
  </si>
  <si>
    <t>RCC FOUNDATION WITH RAIL FOR 220 KV / 11 KV, 40 MV</t>
  </si>
  <si>
    <t>108953</t>
  </si>
  <si>
    <t>RCC FOUNDATION FOR 220 KV LIGHTENING AREESTORS</t>
  </si>
  <si>
    <t>108954</t>
  </si>
  <si>
    <t>RCC FOUNDATION FOR 220 KV CURRENT TRANSFORMERS</t>
  </si>
  <si>
    <t>108955</t>
  </si>
  <si>
    <t>CONSTRUCTION OF CABLE TRENCH TRAY ARRANGEMENT</t>
  </si>
  <si>
    <t>108956</t>
  </si>
  <si>
    <t>Construction of RCC Foundation for nitrogen purgin</t>
  </si>
  <si>
    <t>108956a</t>
  </si>
  <si>
    <t>108957</t>
  </si>
  <si>
    <t>Construction of oil soak pit</t>
  </si>
  <si>
    <t>108957a</t>
  </si>
  <si>
    <t>108958</t>
  </si>
  <si>
    <t>Construction of Common RCC burnt oil tank</t>
  </si>
  <si>
    <t>108959</t>
  </si>
  <si>
    <t>Transformer fire wall between 220/11kv, 40MVA , Po</t>
  </si>
  <si>
    <t>108959a</t>
  </si>
  <si>
    <t>108960</t>
  </si>
  <si>
    <t>RCC Foundation for 220KV circuit breaker</t>
  </si>
  <si>
    <t>108961</t>
  </si>
  <si>
    <t>108962</t>
  </si>
  <si>
    <t>RCC FOUNDATION FOR 220KV LIGHTENING ARRESTORS</t>
  </si>
  <si>
    <t>108963</t>
  </si>
  <si>
    <t>RCC FOUNDATION FOR 220KV CURRENT TRANSFORMER</t>
  </si>
  <si>
    <t>108964</t>
  </si>
  <si>
    <t>108967</t>
  </si>
  <si>
    <t>Sales loading and unloading charges</t>
  </si>
  <si>
    <t>108973</t>
  </si>
  <si>
    <t>108974</t>
  </si>
  <si>
    <t>108975</t>
  </si>
  <si>
    <t>108976</t>
  </si>
  <si>
    <t>108977</t>
  </si>
  <si>
    <t>108978</t>
  </si>
  <si>
    <t>108979</t>
  </si>
  <si>
    <t>108980</t>
  </si>
  <si>
    <t>108981</t>
  </si>
  <si>
    <t>108982</t>
  </si>
  <si>
    <t>108983</t>
  </si>
  <si>
    <t>108984</t>
  </si>
  <si>
    <t>108993</t>
  </si>
  <si>
    <t>109010</t>
  </si>
  <si>
    <t>SER000-028 Repairing charges of Energy meters</t>
  </si>
  <si>
    <t>109011</t>
  </si>
  <si>
    <t>10023001</t>
  </si>
  <si>
    <t>Switchgear cable connection NIDP</t>
  </si>
  <si>
    <t>0100000019</t>
  </si>
  <si>
    <t>Switchgear including cable connections</t>
  </si>
  <si>
    <t>Galvanised steel structure for Supply of galvanise</t>
  </si>
  <si>
    <t>109012</t>
  </si>
  <si>
    <t>109013</t>
  </si>
  <si>
    <t>109013a</t>
  </si>
  <si>
    <t>109014</t>
  </si>
  <si>
    <t>109015</t>
  </si>
  <si>
    <t>109016</t>
  </si>
  <si>
    <t>109017</t>
  </si>
  <si>
    <t>Supply of LT Power &amp; Control cables with suitable</t>
  </si>
  <si>
    <t>109017a</t>
  </si>
  <si>
    <t>109017b</t>
  </si>
  <si>
    <t>109018</t>
  </si>
  <si>
    <t>109019</t>
  </si>
  <si>
    <t>Supply of 415V ACDB for yard auxilliary</t>
  </si>
  <si>
    <t>109019a</t>
  </si>
  <si>
    <t>109019b</t>
  </si>
  <si>
    <t>109020</t>
  </si>
  <si>
    <t>Supply of 220KV Bay Marshalling Kiosk</t>
  </si>
  <si>
    <t>109020a</t>
  </si>
  <si>
    <t>109020b</t>
  </si>
  <si>
    <t>109021</t>
  </si>
  <si>
    <t>109022</t>
  </si>
  <si>
    <t>109022a</t>
  </si>
  <si>
    <t>109022b</t>
  </si>
  <si>
    <t>109023</t>
  </si>
  <si>
    <t>10022001</t>
  </si>
  <si>
    <t>Building-Others - NIDP</t>
  </si>
  <si>
    <t>0100000018</t>
  </si>
  <si>
    <t>Building-Others</t>
  </si>
  <si>
    <t>Civil Work</t>
  </si>
  <si>
    <t>109024</t>
  </si>
  <si>
    <t>109025</t>
  </si>
  <si>
    <t>109026</t>
  </si>
  <si>
    <t>109027</t>
  </si>
  <si>
    <t>Civil Work - Substation Building Works</t>
  </si>
  <si>
    <t>109028</t>
  </si>
  <si>
    <t>109029</t>
  </si>
  <si>
    <t>109030</t>
  </si>
  <si>
    <t>109031</t>
  </si>
  <si>
    <t>109032</t>
  </si>
  <si>
    <t>HT SWITCH BOARDS (Supply &amp; Insta)</t>
  </si>
  <si>
    <t>109033</t>
  </si>
  <si>
    <t>109034</t>
  </si>
  <si>
    <t>109034a</t>
  </si>
  <si>
    <t>109034b</t>
  </si>
  <si>
    <t>109035</t>
  </si>
  <si>
    <t>109036</t>
  </si>
  <si>
    <t>109037</t>
  </si>
  <si>
    <t>109038</t>
  </si>
  <si>
    <t>109039</t>
  </si>
  <si>
    <t>Supply of 220kV, 1250A, 40kA for 3 Sec.outdoor type Isolator</t>
  </si>
  <si>
    <t>109040</t>
  </si>
  <si>
    <t>109040a</t>
  </si>
  <si>
    <t>109041</t>
  </si>
  <si>
    <t>Supply of Clamps &amp; Connectors for switchyard equi</t>
  </si>
  <si>
    <t>109041a</t>
  </si>
  <si>
    <t>109041b</t>
  </si>
  <si>
    <t>109042</t>
  </si>
  <si>
    <t>109043</t>
  </si>
  <si>
    <t>220kV Control &amp; Relay Panel for Bus Coupler Protec</t>
  </si>
  <si>
    <t>109044</t>
  </si>
  <si>
    <t>SUPPLY OF 220KV Control &amp; Relay Panel for Transfor</t>
  </si>
  <si>
    <t>109045</t>
  </si>
  <si>
    <t>109046</t>
  </si>
  <si>
    <t>109047</t>
  </si>
  <si>
    <t>109048</t>
  </si>
  <si>
    <t>109049</t>
  </si>
  <si>
    <t>109050</t>
  </si>
  <si>
    <t>109051</t>
  </si>
  <si>
    <t>109052</t>
  </si>
  <si>
    <t>109053</t>
  </si>
  <si>
    <t>109054</t>
  </si>
  <si>
    <t>Supply of FRP Cable tray along with SS Heardwear s</t>
  </si>
  <si>
    <t>109054a</t>
  </si>
  <si>
    <t>109054b</t>
  </si>
  <si>
    <t>109055</t>
  </si>
  <si>
    <t>HT panvel with necessary accessories HT SWITCH BOA</t>
  </si>
  <si>
    <t>109056</t>
  </si>
  <si>
    <t>Civil Works - NIDP D1- DATA CENTER</t>
  </si>
  <si>
    <t>109057</t>
  </si>
  <si>
    <t>Steel doors with frame accessories</t>
  </si>
  <si>
    <t>109058</t>
  </si>
  <si>
    <t>109059</t>
  </si>
  <si>
    <t>109060</t>
  </si>
  <si>
    <t>109061</t>
  </si>
  <si>
    <t>109062</t>
  </si>
  <si>
    <t>109063</t>
  </si>
  <si>
    <t>Supply of Numerical Relay Line Distance with Diff</t>
  </si>
  <si>
    <t>109064</t>
  </si>
  <si>
    <t>109065</t>
  </si>
  <si>
    <t>Supply of MAIN LTAC PAnel With 1000A,4W,50Hz,16KVA</t>
  </si>
  <si>
    <t>109066</t>
  </si>
  <si>
    <t>109067</t>
  </si>
  <si>
    <t>Supply of Numerical Relay Differential Protection</t>
  </si>
  <si>
    <t>109068</t>
  </si>
  <si>
    <t>109069</t>
  </si>
  <si>
    <t>Supply of SIEMENS DIGSI 5 SOFTWARE WITH LICENSE at UPPTCL KP5 LINE-2</t>
  </si>
  <si>
    <t>109070</t>
  </si>
  <si>
    <t>Supply of SIEMENS DIGSI 5 SOFTWARE WITH LICENSE JALPURA LINE-1 (at NIDP MRSS)</t>
  </si>
  <si>
    <t>109071</t>
  </si>
  <si>
    <t>109072</t>
  </si>
  <si>
    <t>Relay differential protection relay (87l Supply of</t>
  </si>
  <si>
    <t>109073</t>
  </si>
  <si>
    <t>109074</t>
  </si>
  <si>
    <t>Finished Panel Assembly</t>
  </si>
  <si>
    <t>109074a</t>
  </si>
  <si>
    <t>109075</t>
  </si>
  <si>
    <t>109076</t>
  </si>
  <si>
    <t>109077</t>
  </si>
  <si>
    <t>109078</t>
  </si>
  <si>
    <t>109079</t>
  </si>
  <si>
    <t>109080</t>
  </si>
  <si>
    <t>109081</t>
  </si>
  <si>
    <t>109082</t>
  </si>
  <si>
    <t>109083</t>
  </si>
  <si>
    <t>109084</t>
  </si>
  <si>
    <t>109085</t>
  </si>
  <si>
    <t>109086</t>
  </si>
  <si>
    <t>109087</t>
  </si>
  <si>
    <t>109088</t>
  </si>
  <si>
    <t>109089</t>
  </si>
  <si>
    <t>109090</t>
  </si>
  <si>
    <t>109091</t>
  </si>
  <si>
    <t>109092</t>
  </si>
  <si>
    <t>109093</t>
  </si>
  <si>
    <t>109094</t>
  </si>
  <si>
    <t>109095</t>
  </si>
  <si>
    <t>109096</t>
  </si>
  <si>
    <t>109097</t>
  </si>
  <si>
    <t>109098</t>
  </si>
  <si>
    <t>109099</t>
  </si>
  <si>
    <t>109100</t>
  </si>
  <si>
    <t>109101</t>
  </si>
  <si>
    <t>109102</t>
  </si>
  <si>
    <t>109103</t>
  </si>
  <si>
    <t>109104</t>
  </si>
  <si>
    <t>109105</t>
  </si>
  <si>
    <t>109106</t>
  </si>
  <si>
    <t>109107</t>
  </si>
  <si>
    <t>109108</t>
  </si>
  <si>
    <t>109109</t>
  </si>
  <si>
    <t>109110</t>
  </si>
  <si>
    <t>CIVIL WORKS-</t>
  </si>
  <si>
    <t>109111</t>
  </si>
  <si>
    <t>109112</t>
  </si>
  <si>
    <t>109113</t>
  </si>
  <si>
    <t>109114</t>
  </si>
  <si>
    <t>109115</t>
  </si>
  <si>
    <t>Inst Work of 220 KV Substation</t>
  </si>
  <si>
    <t>109116</t>
  </si>
  <si>
    <t>109117</t>
  </si>
  <si>
    <t>Inst of outdoor type double break center post, rot</t>
  </si>
  <si>
    <t>109118</t>
  </si>
  <si>
    <t>109119</t>
  </si>
  <si>
    <t>Inst of 220kv, 1250 A, 40KA, for 3 sec , pole oper for Bus coupler bay</t>
  </si>
  <si>
    <t>109120</t>
  </si>
  <si>
    <t>Inst of 220kv, 6 KN Bus Post Insulator</t>
  </si>
  <si>
    <t>109121</t>
  </si>
  <si>
    <t>Inst of ACSR Conductor</t>
  </si>
  <si>
    <t>109122</t>
  </si>
  <si>
    <t>Installtion of string insulators</t>
  </si>
  <si>
    <t>109123</t>
  </si>
  <si>
    <t>Inst of galvanised steel structure for equipment s</t>
  </si>
  <si>
    <t>109124</t>
  </si>
  <si>
    <t>Inst of clamps &amp; connectors for switchyard equipm</t>
  </si>
  <si>
    <t>109125</t>
  </si>
  <si>
    <t>Inst of relay panel for line protection</t>
  </si>
  <si>
    <t>109126</t>
  </si>
  <si>
    <t>109126a</t>
  </si>
  <si>
    <t>109126b</t>
  </si>
  <si>
    <t>109127</t>
  </si>
  <si>
    <t>109128</t>
  </si>
  <si>
    <t>109129</t>
  </si>
  <si>
    <t xml:space="preserve">Inst of 415V ACDB for yard axilliary load </t>
  </si>
  <si>
    <t>109129a</t>
  </si>
  <si>
    <t>109129b</t>
  </si>
  <si>
    <t>109130</t>
  </si>
  <si>
    <t>109130a</t>
  </si>
  <si>
    <t>109130b</t>
  </si>
  <si>
    <t>109131</t>
  </si>
  <si>
    <t>Inst of FRP Cable tray along with SS Heardwear sup</t>
  </si>
  <si>
    <t>109131a</t>
  </si>
  <si>
    <t>109131b</t>
  </si>
  <si>
    <t>109132</t>
  </si>
  <si>
    <t>Inst of 220KV Bay Marshalling Kisok</t>
  </si>
  <si>
    <t>109132a</t>
  </si>
  <si>
    <t>109132b</t>
  </si>
  <si>
    <t>109133</t>
  </si>
  <si>
    <t>Junction box for 220 KV CT suitable for outdoor in</t>
  </si>
  <si>
    <t>109133a</t>
  </si>
  <si>
    <t>109133b</t>
  </si>
  <si>
    <t>109134</t>
  </si>
  <si>
    <t>109135</t>
  </si>
  <si>
    <t>Inst of Galvanised Steel Structure for Equipments</t>
  </si>
  <si>
    <t>109136</t>
  </si>
  <si>
    <t>Inst of clamps &amp; Connectors for switchyard equipm</t>
  </si>
  <si>
    <t>109137</t>
  </si>
  <si>
    <t>Laying of LT power &amp; control cables with suitable</t>
  </si>
  <si>
    <t>109138</t>
  </si>
  <si>
    <t>Inst of 220KV, 6 kn bus post insulator (BPI)</t>
  </si>
  <si>
    <t>109139</t>
  </si>
  <si>
    <t>Inst , testing and comm 11kvHT PANEL - 2 (Inst)</t>
  </si>
  <si>
    <t>109140</t>
  </si>
  <si>
    <t>Inst testing, commissioning 11kv-HT panel-standby-</t>
  </si>
  <si>
    <t>109141</t>
  </si>
  <si>
    <t>109142</t>
  </si>
  <si>
    <t>109143</t>
  </si>
  <si>
    <t>109144</t>
  </si>
  <si>
    <t>109145</t>
  </si>
  <si>
    <t>109146</t>
  </si>
  <si>
    <t>Civil Works Granular sub base Providing and laying</t>
  </si>
  <si>
    <t>M3</t>
  </si>
  <si>
    <t>109147</t>
  </si>
  <si>
    <t>Civil Works</t>
  </si>
  <si>
    <t>109148</t>
  </si>
  <si>
    <t>Civil Works Providing, erecting, fixing in positio</t>
  </si>
  <si>
    <t>109149</t>
  </si>
  <si>
    <t>KG</t>
  </si>
  <si>
    <t>109150</t>
  </si>
  <si>
    <t>Civil Works Breaking &amp; demolition of reinforced ce</t>
  </si>
  <si>
    <t>109151</t>
  </si>
  <si>
    <t>Civil Works Breaking &amp; demolition of brick work /</t>
  </si>
  <si>
    <t>109152</t>
  </si>
  <si>
    <t>Civil Works Providing and Fixing of Fire Sealent(2</t>
  </si>
  <si>
    <t>109153</t>
  </si>
  <si>
    <t>109154</t>
  </si>
  <si>
    <t>SUPPLY AND INSTA OF CIVIL WORK METERING ROOM</t>
  </si>
  <si>
    <t>109155</t>
  </si>
  <si>
    <t>109156</t>
  </si>
  <si>
    <t>109157</t>
  </si>
  <si>
    <t>109158</t>
  </si>
  <si>
    <t>109159</t>
  </si>
  <si>
    <t>109160</t>
  </si>
  <si>
    <t>109161</t>
  </si>
  <si>
    <t>109162</t>
  </si>
  <si>
    <t>109163</t>
  </si>
  <si>
    <t>109164</t>
  </si>
  <si>
    <t>109165</t>
  </si>
  <si>
    <t>109166</t>
  </si>
  <si>
    <t>109167</t>
  </si>
  <si>
    <t>109168</t>
  </si>
  <si>
    <t>109169</t>
  </si>
  <si>
    <t>109170</t>
  </si>
  <si>
    <t>10036001</t>
  </si>
  <si>
    <t>IT equipment software NIDP</t>
  </si>
  <si>
    <t>0100000031</t>
  </si>
  <si>
    <t>IT equipment including software</t>
  </si>
  <si>
    <t>DELL OPTIPLEX 7010 MT DESKTOP</t>
  </si>
  <si>
    <t>109171</t>
  </si>
  <si>
    <t>DELL OPTIPLEX 7010 MT MONITOR</t>
  </si>
  <si>
    <t>109172</t>
  </si>
  <si>
    <t>DELL LATITUDE 3430 LAPTOP</t>
  </si>
  <si>
    <t>109173</t>
  </si>
  <si>
    <t>109174</t>
  </si>
  <si>
    <t>SEAGATE 2TB EXPANSION HDD</t>
  </si>
  <si>
    <t>109175</t>
  </si>
  <si>
    <t>109176</t>
  </si>
  <si>
    <t>HT Cables 1100V grade, Armoured, cable</t>
  </si>
  <si>
    <t>109177</t>
  </si>
  <si>
    <t>3 C x 400 Sq.mm, Aluminium , XLPE, FRL HT CABLE EN</t>
  </si>
  <si>
    <t>109178</t>
  </si>
  <si>
    <t>Electrical Works LDB-SS-2-GF,1F AT SUBSTATION-2,S</t>
  </si>
  <si>
    <t>109179</t>
  </si>
  <si>
    <t>PDB-SS-2 AT SUBSTATION-2 S of DB similar to above</t>
  </si>
  <si>
    <t>109180</t>
  </si>
  <si>
    <t>UPSDB-SS-2 AT SUBSTATION-2 UPSDB-SS-2 AT SUBSTATIO</t>
  </si>
  <si>
    <t>109181</t>
  </si>
  <si>
    <t>Primary Light Point with switch (term Primary Ligh</t>
  </si>
  <si>
    <t>109182</t>
  </si>
  <si>
    <t>Secondary light points looped from the a Secondary</t>
  </si>
  <si>
    <t>109183</t>
  </si>
  <si>
    <t>Secondary light points looped from the a Primary e</t>
  </si>
  <si>
    <t>109184</t>
  </si>
  <si>
    <t>Secondary Emergency light points looped</t>
  </si>
  <si>
    <t>109185</t>
  </si>
  <si>
    <t>Point wiring for 5A plug point on wall/s Point wir</t>
  </si>
  <si>
    <t>109186</t>
  </si>
  <si>
    <t>Point wiring for 5A plug point similar to above, b</t>
  </si>
  <si>
    <t>109187</t>
  </si>
  <si>
    <t>Point wiring for 5A power point comprising of a 3</t>
  </si>
  <si>
    <t>109188</t>
  </si>
  <si>
    <t>Point wiring for 15A plug point on wall/skirting e</t>
  </si>
  <si>
    <t>109189</t>
  </si>
  <si>
    <t>Point wiring for 15A plug point similar to above b</t>
  </si>
  <si>
    <t>109190</t>
  </si>
  <si>
    <t>Power plug poi S of point wiring for Computer 470</t>
  </si>
  <si>
    <t>109191</t>
  </si>
  <si>
    <t>G.I. conduits including all accessories,clamps,spa</t>
  </si>
  <si>
    <t>109192</t>
  </si>
  <si>
    <t>490 - 00000000000598/G .I. conduits -25MM 25 MM</t>
  </si>
  <si>
    <t>109193</t>
  </si>
  <si>
    <t>500 - 200000000000598/ G.I. conduits -40MM 40 MM</t>
  </si>
  <si>
    <t>109194</t>
  </si>
  <si>
    <t>CABLE TRAYS &amp; TRUNKINGS (SUPPLY )S of heavy duty,</t>
  </si>
  <si>
    <t>109195</t>
  </si>
  <si>
    <t>Cable Tray -750mm x 75mm X 2.0 mm 750mm x 75mm X 2</t>
  </si>
  <si>
    <t>109196</t>
  </si>
  <si>
    <t>Perporated cable Tray 300mm x 50mm x2.0mm 300mm x</t>
  </si>
  <si>
    <t>109197</t>
  </si>
  <si>
    <t>Perporated cbale Tra200mm x 50mm X 1.6mm 200mm x 5</t>
  </si>
  <si>
    <t>109198</t>
  </si>
  <si>
    <t>200 mm Wide x 100mm Deep x 1.6mm</t>
  </si>
  <si>
    <t>109199</t>
  </si>
  <si>
    <t>150 mm Wide x 100mm Deep x 1.6mm Thick w 150 mm</t>
  </si>
  <si>
    <t>109200</t>
  </si>
  <si>
    <t>100 mm Wide x 100mm Deep x 1.6mm Thick 100 mm</t>
  </si>
  <si>
    <t>109201</t>
  </si>
  <si>
    <t>EARTHING &amp; LIGHTENING PROTECTION SYSTEMS of earth</t>
  </si>
  <si>
    <t>109202</t>
  </si>
  <si>
    <t>50mm x 6 mm thick GI strip welded &amp; pain S</t>
  </si>
  <si>
    <t>109203</t>
  </si>
  <si>
    <t>25mm x 3mm thick GI strip welded &amp;</t>
  </si>
  <si>
    <t>109204</t>
  </si>
  <si>
    <t>12 SWG copper wire 12 SWG copper wire</t>
  </si>
  <si>
    <t>109205</t>
  </si>
  <si>
    <t>FLOOR POWER PANEL-BSMT-A &amp; B (35KA)</t>
  </si>
  <si>
    <t>109206</t>
  </si>
  <si>
    <t>PUMP PANELBSMT- A &amp; B (35KA) AT BASEMENT</t>
  </si>
  <si>
    <t>109207</t>
  </si>
  <si>
    <t>LT PANEL-SS2 (25KA) AT SUBSTATION-2</t>
  </si>
  <si>
    <t>109208</t>
  </si>
  <si>
    <t>3.5 C x 300 Sq.mm, Aluminium, XLPE, FRLS</t>
  </si>
  <si>
    <t>109209</t>
  </si>
  <si>
    <t>3.5 C x 95 Sq.mm, Aluminium, XLPE, FRLS</t>
  </si>
  <si>
    <t>109210</t>
  </si>
  <si>
    <t>3.5 C x 70 Sq.mm, Aluminium, XLPE, FRLS</t>
  </si>
  <si>
    <t>109211</t>
  </si>
  <si>
    <t>4 C x 16 Sq.mm, copper, XLPE, FRLS</t>
  </si>
  <si>
    <t>109212</t>
  </si>
  <si>
    <t>4 C x 10 Sq.mm, Copper, XLPE, FRLS</t>
  </si>
  <si>
    <t>109213</t>
  </si>
  <si>
    <t>4 C x 6 Sq.mm, Copper, XLPE, FRLS</t>
  </si>
  <si>
    <t>109214</t>
  </si>
  <si>
    <t>4 C x 4 Sq.mm, Copper, XLPE, FRLS</t>
  </si>
  <si>
    <t>109215</t>
  </si>
  <si>
    <t>2C x 2.5 Sq.mm, Copper, FRLS</t>
  </si>
  <si>
    <t>109216</t>
  </si>
  <si>
    <t>4C x 2.5 Sq.mm, Copper, FRLS</t>
  </si>
  <si>
    <t>109217</t>
  </si>
  <si>
    <t>3.5 C x 300 Sq.mm, Aluminium, XLPE, FRL LT CABLE E</t>
  </si>
  <si>
    <t>109218</t>
  </si>
  <si>
    <t>3.5 C x 95 Sq.mm, Aluminium, XLPE, FRL</t>
  </si>
  <si>
    <t>109219</t>
  </si>
  <si>
    <t>3. 5 C x 70/50 Sq.mm, Aluminium, XLPE, F</t>
  </si>
  <si>
    <t>109220</t>
  </si>
  <si>
    <t>4 C x 16 Sq.mm, Copper XLPE, FRLS</t>
  </si>
  <si>
    <t>109221</t>
  </si>
  <si>
    <t>109222</t>
  </si>
  <si>
    <t>4 C/2C x 4 Sq.mm, Copper, XLPE, FRLS</t>
  </si>
  <si>
    <t>109223</t>
  </si>
  <si>
    <t>G.I. conduits 40MM 40 MM200000000000 597/2C/4C x 2</t>
  </si>
  <si>
    <t>109224</t>
  </si>
  <si>
    <t>32 Amp, Three phase, weather proof IEC</t>
  </si>
  <si>
    <t>109225</t>
  </si>
  <si>
    <t>LED based Single piece Linear Light fit</t>
  </si>
  <si>
    <t>109226</t>
  </si>
  <si>
    <t>LED based round shape decorative spotli LED based</t>
  </si>
  <si>
    <t>109227</t>
  </si>
  <si>
    <t>Occupancy Sensor capable of sensing smal</t>
  </si>
  <si>
    <t>109228</t>
  </si>
  <si>
    <t>50mm x 6 mm thick GI strip welded &amp; pain S of the</t>
  </si>
  <si>
    <t>109229</t>
  </si>
  <si>
    <t>10 Sq.mm copper,multistrand, flexible10 Sq.mm. cop</t>
  </si>
  <si>
    <t>109230</t>
  </si>
  <si>
    <t>900-Electric Shock Treatment chart in English and</t>
  </si>
  <si>
    <t>109231</t>
  </si>
  <si>
    <t>10034001</t>
  </si>
  <si>
    <t>Overhead lines supports NIDP</t>
  </si>
  <si>
    <t>0100000029</t>
  </si>
  <si>
    <t>Overhead lines including supports</t>
  </si>
  <si>
    <t>Constrctn of 2nos express 220kv Electricity lines</t>
  </si>
  <si>
    <t>UPPTCL Line In use</t>
  </si>
  <si>
    <t>109232</t>
  </si>
  <si>
    <t>Transformers (including foundations) Soc Cost</t>
  </si>
  <si>
    <t>109233</t>
  </si>
  <si>
    <t>Building-Others (Soc Cost)</t>
  </si>
  <si>
    <t>109234</t>
  </si>
  <si>
    <t>Switchgear including cable connections (Soc Cost)</t>
  </si>
  <si>
    <t>109235</t>
  </si>
  <si>
    <t>Any other assets not covered above (Soc Cost)</t>
  </si>
  <si>
    <t>109236</t>
  </si>
  <si>
    <t>Batteries (Soc Cost)</t>
  </si>
  <si>
    <t>109237</t>
  </si>
  <si>
    <t>Inte wiring including fittings and appa Soc cost</t>
  </si>
  <si>
    <t>109238</t>
  </si>
  <si>
    <t>Lightning arrestors (Soc Cost)</t>
  </si>
  <si>
    <t>109239</t>
  </si>
  <si>
    <t>Communication equipment (Soc COst)</t>
  </si>
  <si>
    <t>109240</t>
  </si>
  <si>
    <t>Air conditioning plants (Soc Cost)</t>
  </si>
  <si>
    <t>109241</t>
  </si>
  <si>
    <t>Meters (Soc Cost)</t>
  </si>
  <si>
    <t>109242</t>
  </si>
  <si>
    <t>Overhead lines including supports (Soc COst)</t>
  </si>
  <si>
    <t>109243</t>
  </si>
  <si>
    <t>IT equipment including software (Soc Cost)</t>
  </si>
  <si>
    <t>109244</t>
  </si>
  <si>
    <t>Transformers (Others) (Soc Cost)</t>
  </si>
  <si>
    <t>109578</t>
  </si>
  <si>
    <t>Inst. of ACSR Conductor, LCM tower/Mast, switch et</t>
  </si>
  <si>
    <t>109579</t>
  </si>
  <si>
    <t>RCC Foundation with Rail for 220KV/11KV,40MVA Powe</t>
  </si>
  <si>
    <t>109580</t>
  </si>
  <si>
    <t>C_RCC_F for 220KV/11KV, 40MVA Power Transformer</t>
  </si>
  <si>
    <t>109581</t>
  </si>
  <si>
    <t>Construction Oil Soak Pit</t>
  </si>
  <si>
    <t>109582</t>
  </si>
  <si>
    <t>Transformer fire wall between 220/11KV, 40MVA Powe</t>
  </si>
  <si>
    <t>109583</t>
  </si>
  <si>
    <t>Foundation of LCLM mast</t>
  </si>
  <si>
    <t>109584</t>
  </si>
  <si>
    <t>Anti Weed Treatment</t>
  </si>
  <si>
    <t>109585</t>
  </si>
  <si>
    <t>Jelly metal spreading 40/20mm jelly</t>
  </si>
  <si>
    <t>109586</t>
  </si>
  <si>
    <t>Construction of Cable Trench Tray Araangement</t>
  </si>
  <si>
    <t>109587</t>
  </si>
  <si>
    <t>Drainage Arrangement</t>
  </si>
  <si>
    <t>109588</t>
  </si>
  <si>
    <t>ITC of MAIN LTAC panel With 1000A,415V,4W, 16KVA</t>
  </si>
  <si>
    <t>109589</t>
  </si>
  <si>
    <t>ITC of FOTE Panel with 04 direction STM-16 suitabl</t>
  </si>
  <si>
    <t>109590</t>
  </si>
  <si>
    <t>ITC of 200AH, 48V DC, Float cum Boost Charger i bu</t>
  </si>
  <si>
    <t>109591</t>
  </si>
  <si>
    <t>ITC of 200AH, 48V VRLA type Batteries</t>
  </si>
  <si>
    <t>109592</t>
  </si>
  <si>
    <t>ITC of Numerical Relay Differential Protection Rel</t>
  </si>
  <si>
    <t>109593</t>
  </si>
  <si>
    <t>ITC of Numerical Relay Line Distance with Differen</t>
  </si>
  <si>
    <t>109594</t>
  </si>
  <si>
    <t>ITC of Numerical Relay Differential protection rel</t>
  </si>
  <si>
    <t>109595</t>
  </si>
  <si>
    <t>109596</t>
  </si>
  <si>
    <t>109597</t>
  </si>
  <si>
    <t>ITC of integration 2 nos Relay with Exist SCADA in</t>
  </si>
  <si>
    <t>109598</t>
  </si>
  <si>
    <t>SCADA integration 2 nos Relay with Exist SCADA int</t>
  </si>
  <si>
    <t>109599</t>
  </si>
  <si>
    <t>109600</t>
  </si>
  <si>
    <t>109601</t>
  </si>
  <si>
    <t>Installation Charges for CCTV Surveillance System</t>
  </si>
  <si>
    <t>109602</t>
  </si>
  <si>
    <t>Installation Charges for Access Control System</t>
  </si>
  <si>
    <t>109603</t>
  </si>
  <si>
    <t>Installation Charges for Cable Tray &amp; Conduits</t>
  </si>
  <si>
    <t>109604</t>
  </si>
  <si>
    <t>Inst of ABT Meter &amp; Compliant Energy Meter Rs 485</t>
  </si>
  <si>
    <t>109605</t>
  </si>
  <si>
    <t>CIVIL WORKS-NIDP DEVELOPERS PRIVAT LIMITED</t>
  </si>
  <si>
    <t>109606</t>
  </si>
  <si>
    <t>15 U(800 mm W x 800 mm D)</t>
  </si>
  <si>
    <t>109607</t>
  </si>
  <si>
    <t>EBELCO 1200D-LED (Double leaf Door-1200LB)</t>
  </si>
  <si>
    <t>109608</t>
  </si>
  <si>
    <t>Supply and Installation of civil work</t>
  </si>
  <si>
    <t>Row Labels</t>
  </si>
  <si>
    <t>Grand Total</t>
  </si>
  <si>
    <t>Column Labels</t>
  </si>
  <si>
    <t>Sum of     Acquis.val.</t>
  </si>
  <si>
    <t>Sum of      Accum.dep.</t>
  </si>
  <si>
    <r>
      <t>Supply of 220kV, 1250A, 40kA for 3 sec, outdoor</t>
    </r>
    <r>
      <rPr>
        <sz val="11"/>
        <color theme="1"/>
        <rFont val="Aptos Narrow"/>
        <family val="2"/>
        <scheme val="minor"/>
      </rPr>
      <t xml:space="preserve"> type Isolator with earth switch</t>
    </r>
  </si>
  <si>
    <r>
      <t xml:space="preserve">Inst of potential transformer for line protection </t>
    </r>
    <r>
      <rPr>
        <sz val="11"/>
        <color theme="1"/>
        <rFont val="Aptos Narrow"/>
        <family val="2"/>
        <scheme val="minor"/>
      </rPr>
      <t>Line bay</t>
    </r>
  </si>
  <si>
    <r>
      <t xml:space="preserve">Inst of Current transformer for line protection </t>
    </r>
    <r>
      <rPr>
        <sz val="11"/>
        <color theme="1"/>
        <rFont val="Aptos Narrow"/>
        <family val="2"/>
        <scheme val="minor"/>
      </rPr>
      <t>Line Bay</t>
    </r>
  </si>
  <si>
    <r>
      <t xml:space="preserve">Inst of potential transformer for line protection </t>
    </r>
    <r>
      <rPr>
        <sz val="11"/>
        <color theme="1"/>
        <rFont val="Aptos Narrow"/>
        <family val="2"/>
        <scheme val="minor"/>
      </rPr>
      <t>Buscoupler Bay</t>
    </r>
  </si>
  <si>
    <r>
      <t xml:space="preserve">Inst of 220 KV, 40 KA for 3 sec for traffic meteri </t>
    </r>
    <r>
      <rPr>
        <sz val="11"/>
        <color theme="1"/>
        <rFont val="Aptos Narrow"/>
        <family val="2"/>
        <scheme val="minor"/>
      </rPr>
      <t>(pole operated single phase SF6 Circuit Breaker)</t>
    </r>
  </si>
  <si>
    <r>
      <t>Inst of 220KV, 40kA for 3 sec, Current Transforme</t>
    </r>
    <r>
      <rPr>
        <sz val="11"/>
        <color theme="1"/>
        <rFont val="Aptos Narrow"/>
        <family val="2"/>
        <scheme val="minor"/>
      </rPr>
      <t xml:space="preserve"> (Bus Coupler Bay)</t>
    </r>
  </si>
  <si>
    <r>
      <t xml:space="preserve">RCC foundation for 220KV isolators RCC foundation </t>
    </r>
    <r>
      <rPr>
        <sz val="11"/>
        <color theme="1"/>
        <rFont val="Aptos Narrow"/>
        <family val="2"/>
        <scheme val="minor"/>
      </rPr>
      <t>(in Transformer Bay)</t>
    </r>
  </si>
  <si>
    <r>
      <t>RCC Foundation for 220kV Potential transfromers/CV</t>
    </r>
    <r>
      <rPr>
        <sz val="11"/>
        <color theme="1"/>
        <rFont val="Aptos Narrow"/>
        <family val="2"/>
        <scheme val="minor"/>
      </rPr>
      <t>T</t>
    </r>
  </si>
  <si>
    <r>
      <t>SITC of HVAC Work Substation-2 -NIDP</t>
    </r>
    <r>
      <rPr>
        <sz val="11"/>
        <color theme="1"/>
        <rFont val="Aptos Narrow"/>
        <family val="2"/>
        <scheme val="minor"/>
      </rPr>
      <t>,200000000000651/9.5mm OD
(insulation = 13mm thick)
9.5mm OD (insulation = 13mm
thick)</t>
    </r>
  </si>
  <si>
    <r>
      <t>SITC of HVAC Work Substation-2 -NIDP,</t>
    </r>
    <r>
      <rPr>
        <sz val="11"/>
        <color theme="1"/>
        <rFont val="Aptos Narrow"/>
        <family val="2"/>
        <scheme val="minor"/>
      </rPr>
      <t xml:space="preserve"> 200000000000651/6.4mm OD
(insulation = 13mm thick)
6.4mm OD (insulation = 13mm
thick)</t>
    </r>
  </si>
  <si>
    <r>
      <t xml:space="preserve">Supply of 220kV, 1250A, 40kA for 3 Sec. pole </t>
    </r>
    <r>
      <rPr>
        <sz val="11"/>
        <color theme="1"/>
        <rFont val="Aptos Narrow"/>
        <family val="2"/>
        <scheme val="minor"/>
      </rPr>
      <t>operated single phase SF6 Circuit Breaker for Bus Coupler</t>
    </r>
  </si>
  <si>
    <r>
      <t xml:space="preserve">Supply of 220KV, 1600A, 40kA for 3 Sec. pole </t>
    </r>
    <r>
      <rPr>
        <sz val="11"/>
        <color theme="1"/>
        <rFont val="Aptos Narrow"/>
        <family val="2"/>
        <scheme val="minor"/>
      </rPr>
      <t>operated for Transformer bay</t>
    </r>
  </si>
  <si>
    <r>
      <t xml:space="preserve">Supply of 220kV, 1250A, 40kA for 3 Sec. pole </t>
    </r>
    <r>
      <rPr>
        <sz val="11"/>
        <color theme="1"/>
        <rFont val="Aptos Narrow"/>
        <family val="2"/>
        <scheme val="minor"/>
      </rPr>
      <t xml:space="preserve"> operated single phase SF6 Circuit Breaker</t>
    </r>
  </si>
  <si>
    <r>
      <t xml:space="preserve">Junction for 220 kv </t>
    </r>
    <r>
      <rPr>
        <sz val="11"/>
        <color theme="1"/>
        <rFont val="Aptos Narrow"/>
        <family val="2"/>
        <scheme val="minor"/>
      </rPr>
      <t>CVT/PT suitable for outdoor installation.</t>
    </r>
  </si>
  <si>
    <r>
      <t>Junction for 220 kv CT's suitable</t>
    </r>
    <r>
      <rPr>
        <sz val="11"/>
        <color theme="1"/>
        <rFont val="Aptos Narrow"/>
        <family val="2"/>
        <scheme val="minor"/>
      </rPr>
      <t xml:space="preserve"> foroutdoor installation.</t>
    </r>
  </si>
  <si>
    <r>
      <t xml:space="preserve">Inst of outdoor type double break center post, rot </t>
    </r>
    <r>
      <rPr>
        <sz val="11"/>
        <color theme="1"/>
        <rFont val="Aptos Narrow"/>
        <family val="2"/>
        <scheme val="minor"/>
      </rPr>
      <t>Bus coupler</t>
    </r>
  </si>
  <si>
    <r>
      <t xml:space="preserve">Supply of 220kV, 1250A, 40kA for 3 sec, outdoor </t>
    </r>
    <r>
      <rPr>
        <sz val="11"/>
        <color theme="1"/>
        <rFont val="Aptos Narrow"/>
        <family val="2"/>
        <scheme val="minor"/>
      </rPr>
      <t>type Buscoupler Bay section</t>
    </r>
  </si>
  <si>
    <r>
      <t xml:space="preserve">Supply of 220kV, 1250A, 40kA for 3 sec, outdoor </t>
    </r>
    <r>
      <rPr>
        <sz val="11"/>
        <color theme="1"/>
        <rFont val="Aptos Narrow"/>
        <family val="2"/>
        <scheme val="minor"/>
      </rPr>
      <t>type Transformer Bay section</t>
    </r>
  </si>
  <si>
    <r>
      <t xml:space="preserve">Supply of 220kV, 1250A, 40kA for 3 sec, outdoor </t>
    </r>
    <r>
      <rPr>
        <sz val="11"/>
        <color theme="1"/>
        <rFont val="Aptos Narrow"/>
        <family val="2"/>
        <scheme val="minor"/>
      </rPr>
      <t>type Line Bay section</t>
    </r>
  </si>
  <si>
    <r>
      <t xml:space="preserve">Supply of 220kV, 1250A, 40kA for 3 Sec., outdoor </t>
    </r>
    <r>
      <rPr>
        <sz val="11"/>
        <color theme="1"/>
        <rFont val="Aptos Narrow"/>
        <family val="2"/>
        <scheme val="minor"/>
      </rPr>
      <t>tandem type isolator</t>
    </r>
  </si>
  <si>
    <r>
      <t xml:space="preserve">Supply of 220kV, 1250A, 40kA for 3 Sec. outdoor  </t>
    </r>
    <r>
      <rPr>
        <sz val="11"/>
        <color theme="1"/>
        <rFont val="Aptos Narrow"/>
        <family val="2"/>
        <scheme val="minor"/>
      </rPr>
      <t>type Isplator with earth switch</t>
    </r>
  </si>
  <si>
    <r>
      <t xml:space="preserve">Supply of 220kV, 1250A, 40kA for 3 Sec. outdoor </t>
    </r>
    <r>
      <rPr>
        <sz val="11"/>
        <color theme="1"/>
        <rFont val="Aptos Narrow"/>
        <family val="2"/>
        <scheme val="minor"/>
      </rPr>
      <t>type Isolator with earth switch</t>
    </r>
  </si>
  <si>
    <r>
      <t>Supply of 220kV Control &amp; Relay Panel for</t>
    </r>
    <r>
      <rPr>
        <sz val="11"/>
        <color theme="1"/>
        <rFont val="Aptos Narrow"/>
        <family val="2"/>
        <scheme val="minor"/>
      </rPr>
      <t xml:space="preserve"> Centralised Bus bar Protection</t>
    </r>
  </si>
  <si>
    <r>
      <t>SUPPLY OF 220KV Control&amp; Relay Panel for Line</t>
    </r>
    <r>
      <rPr>
        <sz val="11"/>
        <color theme="1"/>
        <rFont val="Aptos Narrow"/>
        <family val="2"/>
        <scheme val="minor"/>
      </rPr>
      <t xml:space="preserve"> protection</t>
    </r>
  </si>
  <si>
    <r>
      <t>Numerical relay line distance with</t>
    </r>
    <r>
      <rPr>
        <sz val="11"/>
        <color theme="1"/>
        <rFont val="Aptos Narrow"/>
        <family val="2"/>
        <scheme val="minor"/>
      </rPr>
      <t xml:space="preserve"> supply of 200AH</t>
    </r>
  </si>
  <si>
    <r>
      <t xml:space="preserve">Inst of relay panel for </t>
    </r>
    <r>
      <rPr>
        <sz val="11"/>
        <color theme="1"/>
        <rFont val="Aptos Narrow"/>
        <family val="2"/>
        <scheme val="minor"/>
      </rPr>
      <t>Transfomer protection</t>
    </r>
  </si>
  <si>
    <r>
      <t xml:space="preserve">Inst of relay panel for </t>
    </r>
    <r>
      <rPr>
        <sz val="11"/>
        <color theme="1"/>
        <rFont val="Aptos Narrow"/>
        <family val="2"/>
        <scheme val="minor"/>
      </rPr>
      <t>Bus Coupler protection</t>
    </r>
  </si>
  <si>
    <r>
      <t xml:space="preserve">Inst of relay panel for </t>
    </r>
    <r>
      <rPr>
        <sz val="11"/>
        <color theme="1"/>
        <rFont val="Aptos Narrow"/>
        <family val="2"/>
        <scheme val="minor"/>
      </rPr>
      <t>Centralized BUSBAR  protection</t>
    </r>
  </si>
  <si>
    <t xml:space="preserve">Depreciation </t>
  </si>
  <si>
    <t>Gross Fixed Asset</t>
  </si>
  <si>
    <t>Inst of 415V ACDB for yard axilliary load (5KVA UPS With 220V DC Power Pack with 1Hour Beak up)</t>
  </si>
  <si>
    <t>Junction box for 220 kv suitalble for outdoor inst for CVT/PT for Line and Bus coupler bay</t>
  </si>
  <si>
    <t xml:space="preserve">Annexure 13: Fixed Asset Register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</si>
</sst>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.0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43" fontId="0" fillId="0" borderId="0" xfId="1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pivotButton="1" applyBorder="1"/>
    <xf numFmtId="0" fontId="0" fillId="0" borderId="1" xfId="0" applyBorder="1"/>
    <xf numFmtId="0" fontId="0" fillId="0" borderId="1" xfId="0" pivotButton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pivotButton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vertical="center"/>
    </xf>
    <xf numFmtId="43" fontId="0" fillId="0" borderId="1" xfId="0" applyNumberFormat="1" applyBorder="1" applyAlignment="1">
      <alignment vertical="center"/>
    </xf>
    <xf numFmtId="43" fontId="0" fillId="0" borderId="1" xfId="1" applyFont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4" borderId="1" xfId="0" applyFill="1" applyBorder="1" applyAlignment="1">
      <alignment vertical="center" wrapText="1"/>
    </xf>
    <xf numFmtId="49" fontId="0" fillId="4" borderId="1" xfId="0" applyNumberFormat="1" applyFill="1" applyBorder="1" applyAlignment="1">
      <alignment vertical="center"/>
    </xf>
    <xf numFmtId="49" fontId="0" fillId="4" borderId="1" xfId="0" applyNumberFormat="1" applyFill="1" applyBorder="1" applyAlignment="1">
      <alignment vertical="center" wrapText="1"/>
    </xf>
    <xf numFmtId="14" fontId="0" fillId="4" borderId="1" xfId="0" applyNumberFormat="1" applyFill="1" applyBorder="1" applyAlignment="1">
      <alignment vertical="center"/>
    </xf>
    <xf numFmtId="164" fontId="0" fillId="4" borderId="1" xfId="0" applyNumberFormat="1" applyFill="1" applyBorder="1" applyAlignment="1">
      <alignment vertical="center"/>
    </xf>
    <xf numFmtId="43" fontId="0" fillId="4" borderId="1" xfId="1" applyFont="1" applyFill="1" applyBorder="1" applyAlignment="1">
      <alignment vertical="center"/>
    </xf>
    <xf numFmtId="4" fontId="0" fillId="4" borderId="1" xfId="0" applyNumberFormat="1" applyFill="1" applyBorder="1" applyAlignment="1">
      <alignment vertical="center"/>
    </xf>
    <xf numFmtId="49" fontId="2" fillId="4" borderId="1" xfId="0" applyNumberFormat="1" applyFont="1" applyFill="1" applyBorder="1" applyAlignment="1">
      <alignment vertical="center"/>
    </xf>
    <xf numFmtId="0" fontId="0" fillId="4" borderId="1" xfId="0" applyFill="1" applyBorder="1"/>
    <xf numFmtId="0" fontId="0" fillId="4" borderId="1" xfId="0" applyFill="1" applyBorder="1" applyAlignment="1">
      <alignment wrapText="1"/>
    </xf>
    <xf numFmtId="43" fontId="0" fillId="4" borderId="1" xfId="1" applyFont="1" applyFill="1" applyBorder="1"/>
    <xf numFmtId="0" fontId="0" fillId="4" borderId="1" xfId="0" applyFill="1" applyBorder="1" applyAlignment="1">
      <alignment vertical="top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43" fontId="0" fillId="0" borderId="1" xfId="0" applyNumberFormat="1" applyBorder="1"/>
    <xf numFmtId="43" fontId="0" fillId="0" borderId="1" xfId="0" applyNumberFormat="1" applyBorder="1" applyAlignment="1">
      <alignment vertical="top" wrapText="1"/>
    </xf>
    <xf numFmtId="43" fontId="3" fillId="2" borderId="1" xfId="1" applyFont="1" applyFill="1" applyBorder="1"/>
    <xf numFmtId="0" fontId="0" fillId="0" borderId="1" xfId="0" applyBorder="1" applyAlignment="1">
      <alignment vertical="top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51">
    <dxf>
      <alignment vertical="center"/>
    </dxf>
    <dxf>
      <alignment vertical="center"/>
    </dxf>
    <dxf>
      <alignment vertic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5992.714480324074" createdVersion="8" refreshedVersion="8" minRefreshableVersion="3" recordCount="536" xr:uid="{38B04372-47E1-4FE4-9523-ACAD90C81971}">
  <cacheSource type="worksheet">
    <worksheetSource ref="A4:O540" sheet="FAR Mar-25"/>
  </cacheSource>
  <cacheFields count="15">
    <cacheField name="Asset" numFmtId="49">
      <sharedItems/>
    </cacheField>
    <cacheField name="Class" numFmtId="49">
      <sharedItems containsBlank="1"/>
    </cacheField>
    <cacheField name="Asset Class Description" numFmtId="49">
      <sharedItems containsBlank="1"/>
    </cacheField>
    <cacheField name="Accnt: APC" numFmtId="49">
      <sharedItems containsBlank="1"/>
    </cacheField>
    <cacheField name="Asset Classification" numFmtId="49">
      <sharedItems count="13">
        <s v="Transformers (Others)"/>
        <s v="Transformers (including foundations)"/>
        <s v="Lightning arrestors"/>
        <s v="Internal wiring including fittings and apparatus"/>
        <s v="Any other assets not covered above"/>
        <s v="Meters"/>
        <s v="Communication equipment"/>
        <s v="Batteries"/>
        <s v="Air conditioning plants"/>
        <s v="Switchgear including cable connections"/>
        <s v="Building-Others"/>
        <s v="IT equipment including software"/>
        <s v="Overhead lines including supports"/>
      </sharedItems>
    </cacheField>
    <cacheField name="Asset Description" numFmtId="49">
      <sharedItems/>
    </cacheField>
    <cacheField name="Cap.Date" numFmtId="14">
      <sharedItems containsSemiMixedTypes="0" containsNonDate="0" containsDate="1" containsString="0" minDate="2024-04-04T00:00:00" maxDate="2025-03-02T00:00:00"/>
    </cacheField>
    <cacheField name="First Acq." numFmtId="14">
      <sharedItems containsNonDate="0" containsDate="1" containsString="0" containsBlank="1" minDate="2024-04-04T00:00:00" maxDate="2025-03-02T00:00:00"/>
    </cacheField>
    <cacheField name="DCStart" numFmtId="14">
      <sharedItems containsNonDate="0" containsDate="1" containsString="0" containsBlank="1" minDate="2024-04-04T00:00:00" maxDate="2025-03-02T00:00:00"/>
    </cacheField>
    <cacheField name="Quantity" numFmtId="164">
      <sharedItems containsSemiMixedTypes="0" containsString="0" containsNumber="1" minValue="0.01" maxValue="22700"/>
    </cacheField>
    <cacheField name="BUn" numFmtId="49">
      <sharedItems/>
    </cacheField>
    <cacheField name="    Acquis.val." numFmtId="43">
      <sharedItems containsSemiMixedTypes="0" containsString="0" containsNumber="1" minValue="1" maxValue="359191030"/>
    </cacheField>
    <cacheField name="     Accum.dep." numFmtId="4">
      <sharedItems containsSemiMixedTypes="0" containsString="0" containsNumber="1" minValue="-16928466.59" maxValue="-0.13"/>
    </cacheField>
    <cacheField name="      Book val." numFmtId="4">
      <sharedItems containsSemiMixedTypes="0" containsString="0" containsNumber="1" minValue="0.87" maxValue="342262563.41000003"/>
    </cacheField>
    <cacheField name="Status" numFmtId="0">
      <sharedItems count="8">
        <s v="In use"/>
        <s v="Not in use"/>
        <s v="UPPTCL Line In use"/>
        <s v="CEIG Approved but Not in use" u="1"/>
        <s v="No CEIG. Not in use" u="1"/>
        <s v="Not executed" u="1"/>
        <s v="Not Completed the work." u="1"/>
        <s v="Open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6">
  <r>
    <s v="108652"/>
    <s v="10037001"/>
    <s v="Transformers (Others) NIDP"/>
    <s v="0100000032"/>
    <x v="0"/>
    <s v="Supply of 220KV, 40kA for 3 sec, Current Transform"/>
    <d v="2024-04-04T00:00:00"/>
    <d v="2024-04-04T00:00:00"/>
    <d v="2024-04-04T00:00:00"/>
    <n v="1"/>
    <s v="NOS"/>
    <n v="376419.66"/>
    <n v="-17740.439999999999"/>
    <n v="358679.22"/>
    <x v="0"/>
  </r>
  <r>
    <s v="108653"/>
    <s v="10037001"/>
    <s v="Transformers (Others) NIDP"/>
    <s v="0100000032"/>
    <x v="0"/>
    <s v="Supply of 220KV, 40kA for 3 sec, Current Transform"/>
    <d v="2024-04-04T00:00:00"/>
    <d v="2024-04-04T00:00:00"/>
    <d v="2024-04-04T00:00:00"/>
    <n v="1"/>
    <s v="NOS"/>
    <n v="376420"/>
    <n v="-17740.46"/>
    <n v="358679.54"/>
    <x v="0"/>
  </r>
  <r>
    <s v="108654"/>
    <s v="10037001"/>
    <s v="Transformers (Others) NIDP"/>
    <s v="0100000032"/>
    <x v="0"/>
    <s v="Supply of 220KV, 40kA for 3 sec, Current Transform"/>
    <d v="2024-04-04T00:00:00"/>
    <d v="2024-04-04T00:00:00"/>
    <d v="2024-04-04T00:00:00"/>
    <n v="1"/>
    <s v="NOS"/>
    <n v="376420"/>
    <n v="-17740.46"/>
    <n v="358679.54"/>
    <x v="0"/>
  </r>
  <r>
    <s v="108655"/>
    <s v="10037001"/>
    <s v="Transformers (Others) NIDP"/>
    <s v="0100000032"/>
    <x v="0"/>
    <s v="Supply of 220KV, 40kA for 3 sec, Current Transform"/>
    <d v="2024-04-04T00:00:00"/>
    <d v="2024-04-04T00:00:00"/>
    <d v="2024-04-04T00:00:00"/>
    <n v="1"/>
    <s v="NOS"/>
    <n v="376420"/>
    <n v="-17740.46"/>
    <n v="358679.54"/>
    <x v="0"/>
  </r>
  <r>
    <s v="108656"/>
    <s v="10037001"/>
    <s v="Transformers (Others) NIDP"/>
    <s v="0100000032"/>
    <x v="0"/>
    <s v="Supply of 220KV, 40kA for 3 sec, Current Transform"/>
    <d v="2024-04-04T00:00:00"/>
    <d v="2024-04-04T00:00:00"/>
    <d v="2024-04-04T00:00:00"/>
    <n v="1"/>
    <s v="NOS"/>
    <n v="376420"/>
    <n v="-17740.46"/>
    <n v="358679.54"/>
    <x v="0"/>
  </r>
  <r>
    <s v="108657"/>
    <s v="10037001"/>
    <s v="Transformers (Others) NIDP"/>
    <s v="0100000032"/>
    <x v="0"/>
    <s v="Supply of 220KV, 40kA for 3 sec, Current Transform"/>
    <d v="2024-04-04T00:00:00"/>
    <d v="2024-04-04T00:00:00"/>
    <d v="2024-04-04T00:00:00"/>
    <n v="1"/>
    <s v="NOS"/>
    <n v="376420"/>
    <n v="-17740.46"/>
    <n v="358679.54"/>
    <x v="0"/>
  </r>
  <r>
    <s v="108658"/>
    <s v="10037001"/>
    <s v="Transformers (Others) NIDP"/>
    <s v="0100000032"/>
    <x v="0"/>
    <s v="Supply of 220KV, 40kA for 3 sec, Current Transform"/>
    <d v="2024-04-04T00:00:00"/>
    <d v="2024-04-04T00:00:00"/>
    <d v="2024-04-04T00:00:00"/>
    <n v="1"/>
    <s v="NOS"/>
    <n v="376420"/>
    <n v="-17740.46"/>
    <n v="358679.54"/>
    <x v="0"/>
  </r>
  <r>
    <s v="108659"/>
    <s v="10037001"/>
    <s v="Transformers (Others) NIDP"/>
    <s v="0100000032"/>
    <x v="0"/>
    <s v="Supply of 220KV, 40kA for 3 sec, Current Transform"/>
    <d v="2024-04-04T00:00:00"/>
    <d v="2024-04-04T00:00:00"/>
    <d v="2024-04-04T00:00:00"/>
    <n v="1"/>
    <s v="NOS"/>
    <n v="376420"/>
    <n v="-17740.46"/>
    <n v="358679.54"/>
    <x v="0"/>
  </r>
  <r>
    <s v="108660"/>
    <s v="10037001"/>
    <s v="Transformers (Others) NIDP"/>
    <s v="0100000032"/>
    <x v="0"/>
    <s v="Supply of 220KV, 40kA for 3 sec, Current Transform"/>
    <d v="2024-04-04T00:00:00"/>
    <d v="2024-04-04T00:00:00"/>
    <d v="2024-04-04T00:00:00"/>
    <n v="1"/>
    <s v="NOS"/>
    <n v="376420"/>
    <n v="-17740.46"/>
    <n v="358679.54"/>
    <x v="0"/>
  </r>
  <r>
    <s v="108661"/>
    <s v="10037001"/>
    <s v="Transformers (Others) NIDP"/>
    <s v="0100000032"/>
    <x v="0"/>
    <s v="Supply of 220KV, 40kA for 3 sec, Current Transform"/>
    <d v="2024-04-04T00:00:00"/>
    <d v="2024-04-04T00:00:00"/>
    <d v="2024-04-04T00:00:00"/>
    <n v="1"/>
    <s v="NOS"/>
    <n v="376420"/>
    <n v="-17740.46"/>
    <n v="358679.54"/>
    <x v="0"/>
  </r>
  <r>
    <s v="108662"/>
    <s v="10037001"/>
    <s v="Transformers (Others) NIDP"/>
    <s v="0100000032"/>
    <x v="0"/>
    <s v="Supply of 220KV, 40kA for 3 sec, Current Transform"/>
    <d v="2024-04-04T00:00:00"/>
    <d v="2024-04-04T00:00:00"/>
    <d v="2024-04-04T00:00:00"/>
    <n v="1"/>
    <s v="NOS"/>
    <n v="376420"/>
    <n v="-17740.46"/>
    <n v="358679.54"/>
    <x v="0"/>
  </r>
  <r>
    <s v="108663"/>
    <s v="10037001"/>
    <s v="Transformers (Others) NIDP"/>
    <s v="0100000032"/>
    <x v="0"/>
    <s v="Supply of 220KV, 40kA for 3 sec, Current Transform"/>
    <d v="2024-04-04T00:00:00"/>
    <d v="2024-04-04T00:00:00"/>
    <d v="2024-04-04T00:00:00"/>
    <n v="1"/>
    <s v="NOS"/>
    <n v="376420"/>
    <n v="-17740.46"/>
    <n v="358679.54"/>
    <x v="0"/>
  </r>
  <r>
    <s v="108664"/>
    <s v="10037001"/>
    <s v="Transformers (Others) NIDP"/>
    <s v="0100000032"/>
    <x v="0"/>
    <s v="Supply of 220KV, 40kA for 3 sec, Current Transform"/>
    <d v="2024-04-04T00:00:00"/>
    <d v="2024-04-04T00:00:00"/>
    <d v="2024-04-04T00:00:00"/>
    <n v="1"/>
    <s v="NOS"/>
    <n v="376420"/>
    <n v="-17740.46"/>
    <n v="358679.54"/>
    <x v="0"/>
  </r>
  <r>
    <s v="108665"/>
    <s v="10037001"/>
    <s v="Transformers (Others) NIDP"/>
    <s v="0100000032"/>
    <x v="0"/>
    <s v="Supply of 220KV, 40kA for 3 sec, Current Transform"/>
    <d v="2024-04-04T00:00:00"/>
    <d v="2024-04-04T00:00:00"/>
    <d v="2024-04-04T00:00:00"/>
    <n v="1"/>
    <s v="NOS"/>
    <n v="376420"/>
    <n v="-17740.46"/>
    <n v="358679.54"/>
    <x v="0"/>
  </r>
  <r>
    <s v="108666"/>
    <s v="10037001"/>
    <s v="Transformers (Others) NIDP"/>
    <s v="0100000032"/>
    <x v="0"/>
    <s v="Supply of 220KV, 40kA for 3 sec, Current Transform"/>
    <d v="2024-04-04T00:00:00"/>
    <d v="2024-04-04T00:00:00"/>
    <d v="2024-04-04T00:00:00"/>
    <n v="1"/>
    <s v="NOS"/>
    <n v="376420"/>
    <n v="-17740.46"/>
    <n v="358679.54"/>
    <x v="0"/>
  </r>
  <r>
    <s v="108667"/>
    <s v="10037001"/>
    <s v="Transformers (Others) NIDP"/>
    <s v="0100000032"/>
    <x v="0"/>
    <s v="Supply of 220KV, 40kA for 3 sec, Current Transform"/>
    <d v="2024-04-04T00:00:00"/>
    <d v="2024-04-04T00:00:00"/>
    <d v="2024-04-04T00:00:00"/>
    <n v="1"/>
    <s v="NOS"/>
    <n v="376420"/>
    <n v="-17740.46"/>
    <n v="358679.54"/>
    <x v="1"/>
  </r>
  <r>
    <s v="108668"/>
    <s v="10037001"/>
    <s v="Transformers (Others) NIDP"/>
    <s v="0100000032"/>
    <x v="0"/>
    <s v="Supply of 220KV, 40kA for 3 sec, Current Transform"/>
    <d v="2024-04-04T00:00:00"/>
    <d v="2024-04-04T00:00:00"/>
    <d v="2024-04-04T00:00:00"/>
    <n v="1"/>
    <s v="NOS"/>
    <n v="376420"/>
    <n v="-17740.46"/>
    <n v="358679.54"/>
    <x v="1"/>
  </r>
  <r>
    <s v="108669"/>
    <s v="10037001"/>
    <s v="Transformers (Others) NIDP"/>
    <s v="0100000032"/>
    <x v="0"/>
    <s v="Supply of 220KV, 40kA for 3 sec, Current Transform"/>
    <d v="2024-04-04T00:00:00"/>
    <d v="2024-04-04T00:00:00"/>
    <d v="2024-04-04T00:00:00"/>
    <n v="1"/>
    <s v="NOS"/>
    <n v="376420"/>
    <n v="-17740.46"/>
    <n v="358679.54"/>
    <x v="1"/>
  </r>
  <r>
    <s v="108670"/>
    <s v="10037001"/>
    <s v="Transformers (Others) NIDP"/>
    <s v="0100000032"/>
    <x v="0"/>
    <s v="Supply of 220KV, 40kA for 3 sec, Current Transform"/>
    <d v="2024-04-04T00:00:00"/>
    <d v="2024-04-04T00:00:00"/>
    <d v="2024-04-04T00:00:00"/>
    <n v="1"/>
    <s v="NOS"/>
    <n v="376420"/>
    <n v="-17740.46"/>
    <n v="358679.54"/>
    <x v="1"/>
  </r>
  <r>
    <s v="108671"/>
    <s v="10037001"/>
    <s v="Transformers (Others) NIDP"/>
    <s v="0100000032"/>
    <x v="0"/>
    <s v="Supply of 220KV, 40kA for 3 sec, Current Transform"/>
    <d v="2024-04-04T00:00:00"/>
    <d v="2024-04-04T00:00:00"/>
    <d v="2024-04-04T00:00:00"/>
    <n v="1"/>
    <s v="NOS"/>
    <n v="376420"/>
    <n v="-17740.46"/>
    <n v="358679.54"/>
    <x v="1"/>
  </r>
  <r>
    <s v="108672"/>
    <s v="10037001"/>
    <s v="Transformers (Others) NIDP"/>
    <s v="0100000032"/>
    <x v="0"/>
    <s v="Supply of 220KV, 40kA for 3 sec, Current Transform"/>
    <d v="2024-04-04T00:00:00"/>
    <d v="2024-04-04T00:00:00"/>
    <d v="2024-04-04T00:00:00"/>
    <n v="1"/>
    <s v="NOS"/>
    <n v="376420"/>
    <n v="-17740.46"/>
    <n v="358679.54"/>
    <x v="1"/>
  </r>
  <r>
    <s v="108673"/>
    <s v="10037001"/>
    <s v="Transformers (Others) NIDP"/>
    <s v="0100000032"/>
    <x v="0"/>
    <s v="Supply of 220KV, 40kA for 3 sec, Current Transform"/>
    <d v="2024-04-04T00:00:00"/>
    <d v="2024-04-04T00:00:00"/>
    <d v="2024-04-04T00:00:00"/>
    <n v="1"/>
    <s v="NOS"/>
    <n v="376420"/>
    <n v="-17740.46"/>
    <n v="358679.54"/>
    <x v="1"/>
  </r>
  <r>
    <s v="108674"/>
    <s v="10037001"/>
    <s v="Transformers (Others) NIDP"/>
    <s v="0100000032"/>
    <x v="0"/>
    <s v="Supply of 220KV, 40kA for 3 sec, Current Transform"/>
    <d v="2024-04-04T00:00:00"/>
    <d v="2024-04-04T00:00:00"/>
    <d v="2024-04-04T00:00:00"/>
    <n v="1"/>
    <s v="NOS"/>
    <n v="376420"/>
    <n v="-17740.46"/>
    <n v="358679.54"/>
    <x v="1"/>
  </r>
  <r>
    <s v="108675"/>
    <s v="10037001"/>
    <s v="Transformers (Others) NIDP"/>
    <s v="0100000032"/>
    <x v="0"/>
    <s v="Supply of 220KV, 40kA for 3 sec, Current Transform"/>
    <d v="2024-04-04T00:00:00"/>
    <d v="2024-04-04T00:00:00"/>
    <d v="2024-04-04T00:00:00"/>
    <n v="1"/>
    <s v="NOS"/>
    <n v="376420"/>
    <n v="-17740.46"/>
    <n v="358679.54"/>
    <x v="1"/>
  </r>
  <r>
    <s v="108676"/>
    <s v="10037001"/>
    <s v="Transformers (Others) NIDP"/>
    <s v="0100000032"/>
    <x v="0"/>
    <s v="Supply of 220kV, 40kA for 3 Sec. Current Transform"/>
    <d v="2024-04-04T00:00:00"/>
    <d v="2024-04-04T00:00:00"/>
    <d v="2024-04-04T00:00:00"/>
    <n v="1"/>
    <s v="NOS"/>
    <n v="389400"/>
    <n v="-18352.2"/>
    <n v="371047.8"/>
    <x v="1"/>
  </r>
  <r>
    <s v="108677"/>
    <s v="10037001"/>
    <s v="Transformers (Others) NIDP"/>
    <s v="0100000032"/>
    <x v="0"/>
    <s v="Supply of 220kV, 40kA for 3 Sec. Current Transform"/>
    <d v="2024-04-04T00:00:00"/>
    <d v="2024-04-04T00:00:00"/>
    <d v="2024-04-04T00:00:00"/>
    <n v="1"/>
    <s v="NOS"/>
    <n v="389400"/>
    <n v="-18352.2"/>
    <n v="371047.8"/>
    <x v="1"/>
  </r>
  <r>
    <s v="108678"/>
    <s v="10037001"/>
    <s v="Transformers (Others) NIDP"/>
    <s v="0100000032"/>
    <x v="0"/>
    <s v="Supply of 220kV, 40kA for 3 Sec. Current Transform"/>
    <d v="2024-04-04T00:00:00"/>
    <d v="2024-04-04T00:00:00"/>
    <d v="2024-04-04T00:00:00"/>
    <n v="1"/>
    <s v="NOS"/>
    <n v="389400"/>
    <n v="-18352.2"/>
    <n v="371047.8"/>
    <x v="1"/>
  </r>
  <r>
    <s v="108679"/>
    <s v="10037001"/>
    <s v="Transformers (Others) NIDP"/>
    <s v="0100000032"/>
    <x v="0"/>
    <s v="Supply of 220kV, 40kA for 3 Sec. Current Transform"/>
    <d v="2024-04-04T00:00:00"/>
    <d v="2024-04-04T00:00:00"/>
    <d v="2024-04-04T00:00:00"/>
    <n v="1"/>
    <s v="NOS"/>
    <n v="389400"/>
    <n v="-18352.2"/>
    <n v="371047.8"/>
    <x v="1"/>
  </r>
  <r>
    <s v="108680"/>
    <s v="10037001"/>
    <s v="Transformers (Others) NIDP"/>
    <s v="0100000032"/>
    <x v="0"/>
    <s v="Supply of 220kV, 40kA for 3 Sec. Current Transform"/>
    <d v="2024-04-04T00:00:00"/>
    <d v="2024-04-04T00:00:00"/>
    <d v="2024-04-04T00:00:00"/>
    <n v="1"/>
    <s v="NOS"/>
    <n v="389400"/>
    <n v="-18352.2"/>
    <n v="371047.8"/>
    <x v="1"/>
  </r>
  <r>
    <s v="108681"/>
    <s v="10037001"/>
    <s v="Transformers (Others) NIDP"/>
    <s v="0100000032"/>
    <x v="0"/>
    <s v="Supply of 220kV, 40kA for 3 Sec. Current Transform"/>
    <d v="2024-04-04T00:00:00"/>
    <d v="2024-04-04T00:00:00"/>
    <d v="2024-04-04T00:00:00"/>
    <n v="1"/>
    <s v="NOS"/>
    <n v="389400"/>
    <n v="-18352.2"/>
    <n v="371047.8"/>
    <x v="1"/>
  </r>
  <r>
    <s v="108682"/>
    <s v="10037001"/>
    <s v="Transformers (Others) NIDP"/>
    <s v="0100000032"/>
    <x v="0"/>
    <s v="Supply of 220kV, 40kA for 3 Sec. Current Transform"/>
    <d v="2024-04-04T00:00:00"/>
    <d v="2024-04-04T00:00:00"/>
    <d v="2024-04-04T00:00:00"/>
    <n v="1"/>
    <s v="NOS"/>
    <n v="389400"/>
    <n v="-18352.2"/>
    <n v="371047.8"/>
    <x v="1"/>
  </r>
  <r>
    <s v="108683"/>
    <s v="10037001"/>
    <s v="Transformers (Others) NIDP"/>
    <s v="0100000032"/>
    <x v="0"/>
    <s v="Supply of 220kV, 40kA for 3 Sec. Current Transform"/>
    <d v="2024-04-04T00:00:00"/>
    <d v="2024-04-04T00:00:00"/>
    <d v="2024-04-04T00:00:00"/>
    <n v="1"/>
    <s v="NOS"/>
    <n v="389400"/>
    <n v="-18352.2"/>
    <n v="371047.8"/>
    <x v="1"/>
  </r>
  <r>
    <s v="108684"/>
    <s v="10037001"/>
    <s v="Transformers (Others) NIDP"/>
    <s v="0100000032"/>
    <x v="0"/>
    <s v="Supply of 220kV, 40kA for 3 Sec. Current Transform"/>
    <d v="2024-04-04T00:00:00"/>
    <d v="2024-04-04T00:00:00"/>
    <d v="2024-04-04T00:00:00"/>
    <n v="1"/>
    <s v="NOS"/>
    <n v="389400"/>
    <n v="-18352.2"/>
    <n v="371047.8"/>
    <x v="1"/>
  </r>
  <r>
    <s v="108685"/>
    <s v="10021001"/>
    <s v="Transformers (including foundations) NIDP"/>
    <s v="0100000017"/>
    <x v="1"/>
    <s v="Supply of N2 Fire Suppression System for Power Tr"/>
    <d v="2024-04-04T00:00:00"/>
    <d v="2024-04-04T00:00:00"/>
    <d v="2024-04-04T00:00:00"/>
    <n v="2"/>
    <s v="NOS"/>
    <n v="2585653.6666666665"/>
    <n v="-121860.36666666665"/>
    <n v="2463793.3000000003"/>
    <x v="0"/>
  </r>
  <r>
    <s v="108685a"/>
    <m/>
    <m/>
    <m/>
    <x v="1"/>
    <s v="Supply of N2 Fire Suppression System for Power Tr"/>
    <d v="2024-04-04T00:00:00"/>
    <m/>
    <m/>
    <n v="1"/>
    <s v="NOS"/>
    <n v="1292826.8333333333"/>
    <n v="-60930.183333333327"/>
    <n v="1231896.6500000001"/>
    <x v="1"/>
  </r>
  <r>
    <s v="108688"/>
    <s v="10027001"/>
    <s v="Lightning arrestors NIDP"/>
    <s v="0100000023"/>
    <x v="2"/>
    <s v="Lightening protection system for switchyard &amp; only"/>
    <d v="2024-04-04T00:00:00"/>
    <d v="2024-04-04T00:00:00"/>
    <d v="2024-04-04T00:00:00"/>
    <n v="1"/>
    <s v="NOS"/>
    <n v="224700"/>
    <n v="-10589.98"/>
    <n v="214110.02"/>
    <x v="1"/>
  </r>
  <r>
    <s v="108689"/>
    <s v="10026001"/>
    <s v="Fittings and apparatus NIDP"/>
    <s v="0100000022"/>
    <x v="3"/>
    <s v="Supply of LED Lightening Fixtures etc, Supply of i"/>
    <d v="2024-04-04T00:00:00"/>
    <d v="2024-04-04T00:00:00"/>
    <d v="2024-04-04T00:00:00"/>
    <n v="1"/>
    <s v="NOS"/>
    <n v="489459.32"/>
    <n v="-27655.31"/>
    <n v="461804.01"/>
    <x v="0"/>
  </r>
  <r>
    <s v="108690"/>
    <s v="10026001"/>
    <s v="Fittings and apparatus NIDP"/>
    <s v="0100000022"/>
    <x v="3"/>
    <s v="LED light fixtures for LCLM"/>
    <d v="2024-04-04T00:00:00"/>
    <d v="2024-04-04T00:00:00"/>
    <d v="2024-04-04T00:00:00"/>
    <n v="1"/>
    <s v="NOS"/>
    <n v="551900"/>
    <n v="-31183.32"/>
    <n v="520716.68"/>
    <x v="0"/>
  </r>
  <r>
    <s v="108693"/>
    <s v="10024001"/>
    <s v="Other Assets covered NIDP"/>
    <s v="0100000020"/>
    <x v="4"/>
    <s v="Supply of complete fire &amp;safety equipments for swi"/>
    <d v="2024-04-04T00:00:00"/>
    <d v="2024-04-04T00:00:00"/>
    <d v="2024-04-04T00:00:00"/>
    <n v="0.45454545454545453"/>
    <s v="AU"/>
    <n v="79272.727272727279"/>
    <n v="-3736.0772727272733"/>
    <n v="75536.650000000009"/>
    <x v="0"/>
  </r>
  <r>
    <s v="108693a"/>
    <m/>
    <m/>
    <m/>
    <x v="4"/>
    <s v="Supply of complete fire &amp;safety equipments for swi"/>
    <d v="2024-04-04T00:00:00"/>
    <m/>
    <m/>
    <n v="9.0909090909090912E-2"/>
    <s v="AU"/>
    <n v="15854.545454545454"/>
    <n v="-747.21545454545458"/>
    <n v="15107.33"/>
    <x v="1"/>
  </r>
  <r>
    <s v="108693b"/>
    <m/>
    <m/>
    <m/>
    <x v="4"/>
    <s v="Supply of complete fire &amp;safety equipments for swi"/>
    <d v="2024-04-04T00:00:00"/>
    <m/>
    <m/>
    <n v="0.45454545454545453"/>
    <s v="AU"/>
    <n v="79272.727272727279"/>
    <n v="-3736.0772727272733"/>
    <n v="75536.650000000009"/>
    <x v="1"/>
  </r>
  <r>
    <s v="108696"/>
    <s v="10024001"/>
    <s v="Other Assets covered NIDP"/>
    <s v="0100000020"/>
    <x v="4"/>
    <s v="Supply of fire alarm system addressable for only c"/>
    <d v="2024-04-04T00:00:00"/>
    <d v="2024-04-04T00:00:00"/>
    <d v="2024-04-04T00:00:00"/>
    <n v="1"/>
    <s v="NOS"/>
    <n v="844300"/>
    <n v="-39791.370000000003"/>
    <n v="804508.63"/>
    <x v="0"/>
  </r>
  <r>
    <s v="108697"/>
    <s v="10021001"/>
    <s v="Transformers (including foundations) NIDP"/>
    <s v="0100000017"/>
    <x v="1"/>
    <s v="Electrical Transformers, 50000/55000 KVA, 220/11 K"/>
    <d v="2024-04-04T00:00:00"/>
    <d v="2024-04-04T00:00:00"/>
    <d v="2024-04-04T00:00:00"/>
    <n v="1"/>
    <s v="EA"/>
    <n v="47800000"/>
    <n v="-2252786.5"/>
    <n v="45547213.5"/>
    <x v="0"/>
  </r>
  <r>
    <s v="108698"/>
    <s v="10021001"/>
    <s v="Transformers (including foundations) NIDP"/>
    <s v="0100000017"/>
    <x v="1"/>
    <s v="Electrical Transformers, 50000/55000 KVA, 220/11 K"/>
    <d v="2024-04-04T00:00:00"/>
    <d v="2024-04-04T00:00:00"/>
    <d v="2024-04-04T00:00:00"/>
    <n v="1"/>
    <s v="EA"/>
    <n v="47800000"/>
    <n v="-2252786.5"/>
    <n v="45547213.5"/>
    <x v="0"/>
  </r>
  <r>
    <s v="108699"/>
    <s v="10021001"/>
    <s v="Transformers (including foundations) NIDP"/>
    <s v="0100000017"/>
    <x v="1"/>
    <s v="Electrical Transformers, 50000/55000 KVA, 220/11 K"/>
    <d v="2024-04-04T00:00:00"/>
    <d v="2024-04-04T00:00:00"/>
    <d v="2024-04-04T00:00:00"/>
    <n v="1"/>
    <s v="EA"/>
    <n v="47800000"/>
    <n v="-2252786.5"/>
    <n v="45547213.5"/>
    <x v="1"/>
  </r>
  <r>
    <s v="108700"/>
    <s v="10024001"/>
    <s v="Other Assets covered NIDP"/>
    <s v="0100000020"/>
    <x v="4"/>
    <s v="Nido Pit Mounted Scissor Lift Customized (ND-SL-15"/>
    <d v="2024-04-04T00:00:00"/>
    <d v="2024-04-04T00:00:00"/>
    <d v="2024-04-04T00:00:00"/>
    <n v="1"/>
    <s v="EA"/>
    <n v="600000"/>
    <n v="-28277.65"/>
    <n v="571722.35"/>
    <x v="0"/>
  </r>
  <r>
    <s v="108701"/>
    <s v="10031001"/>
    <s v="Meters - NIDP"/>
    <s v="0100000026"/>
    <x v="5"/>
    <s v="Energy METER E3M024-000*6051147 Premier 300,HT4,CI"/>
    <d v="2024-04-04T00:00:00"/>
    <d v="2024-04-04T00:00:00"/>
    <d v="2024-04-04T00:00:00"/>
    <n v="6"/>
    <s v="EA"/>
    <n v="133320"/>
    <n v="-6283.2960000000003"/>
    <n v="127036.704"/>
    <x v="0"/>
  </r>
  <r>
    <s v="108701a"/>
    <m/>
    <m/>
    <m/>
    <x v="5"/>
    <s v="Energy METER E3M024-000*6051147 Premier 300,HT4,CI"/>
    <d v="2024-04-04T00:00:00"/>
    <m/>
    <m/>
    <n v="4"/>
    <s v="EA"/>
    <n v="88880"/>
    <n v="-4188.8639999999996"/>
    <n v="84691.135999999999"/>
    <x v="1"/>
  </r>
  <r>
    <s v="108702"/>
    <s v="10031001"/>
    <s v="Meters - NIDP"/>
    <s v="0100000026"/>
    <x v="5"/>
    <s v="ENERGY METER"/>
    <d v="2024-04-04T00:00:00"/>
    <d v="2024-04-04T00:00:00"/>
    <d v="2024-04-04T00:00:00"/>
    <n v="2"/>
    <s v="EA"/>
    <n v="353500"/>
    <n v="-16660.253333333334"/>
    <n v="336839.74666666664"/>
    <x v="0"/>
  </r>
  <r>
    <s v="108702a"/>
    <m/>
    <m/>
    <m/>
    <x v="5"/>
    <s v="ENERGY METER"/>
    <d v="2024-04-04T00:00:00"/>
    <m/>
    <m/>
    <n v="1"/>
    <s v="EA"/>
    <n v="176750"/>
    <n v="-8330.126666666667"/>
    <n v="168419.87333333332"/>
    <x v="1"/>
  </r>
  <r>
    <s v="108710"/>
    <s v="10027001"/>
    <s v="Lightning arrestors NIDP"/>
    <s v="0100000023"/>
    <x v="2"/>
    <s v="Inst of 10kA, 198KV, lightening arrestor with insu"/>
    <d v="2024-04-04T00:00:00"/>
    <d v="2024-04-04T00:00:00"/>
    <d v="2024-04-04T00:00:00"/>
    <n v="6"/>
    <s v="EA"/>
    <n v="50526"/>
    <n v="-2381.2600000000002"/>
    <n v="48144.74"/>
    <x v="0"/>
  </r>
  <r>
    <s v="108713"/>
    <s v="10037001"/>
    <s v="Transformers (Others) NIDP"/>
    <s v="0100000032"/>
    <x v="0"/>
    <s v="RCC FOUNDATION FOR CIRCUIT BREAKER"/>
    <d v="2024-04-04T00:00:00"/>
    <d v="2024-04-04T00:00:00"/>
    <d v="2024-04-04T00:00:00"/>
    <n v="2"/>
    <s v="EA"/>
    <n v="250000"/>
    <n v="-11782.36"/>
    <n v="238217.64"/>
    <x v="0"/>
  </r>
  <r>
    <s v="108714"/>
    <s v="10037001"/>
    <s v="Transformers (Others) NIDP"/>
    <s v="0100000032"/>
    <x v="0"/>
    <s v="RCC FOUNDATION FO ISOLATOR RCC FOUNDATION FORR 22"/>
    <d v="2024-04-04T00:00:00"/>
    <d v="2024-04-04T00:00:00"/>
    <d v="2024-04-04T00:00:00"/>
    <n v="2"/>
    <s v="EA"/>
    <n v="250000"/>
    <n v="-11782.36"/>
    <n v="238217.64"/>
    <x v="0"/>
  </r>
  <r>
    <s v="108715"/>
    <s v="10037001"/>
    <s v="Transformers (Others) NIDP"/>
    <s v="0100000032"/>
    <x v="0"/>
    <s v="RCC Foundation for current transformer"/>
    <d v="2024-04-04T00:00:00"/>
    <d v="2024-04-04T00:00:00"/>
    <d v="2024-04-04T00:00:00"/>
    <n v="3"/>
    <s v="EA"/>
    <n v="294000"/>
    <n v="-13856.05"/>
    <n v="280143.95"/>
    <x v="0"/>
  </r>
  <r>
    <s v="108716"/>
    <s v="10021001"/>
    <s v="Transformers (including foundations) NIDP"/>
    <s v="0100000017"/>
    <x v="1"/>
    <s v="RCC FOUNDATION FOR 220KV CABLE SEALING END"/>
    <d v="2024-04-04T00:00:00"/>
    <d v="2024-04-04T00:00:00"/>
    <d v="2024-04-04T00:00:00"/>
    <n v="6"/>
    <s v="EA"/>
    <n v="588000"/>
    <n v="-27712.1"/>
    <n v="560287.9"/>
    <x v="0"/>
  </r>
  <r>
    <s v="108717"/>
    <s v="10021001"/>
    <s v="Transformers (including foundations) NIDP"/>
    <s v="0100000017"/>
    <x v="1"/>
    <s v="RCC FOUNDATION FOR 220 KV TOWER"/>
    <d v="2024-04-04T00:00:00"/>
    <d v="2024-04-04T00:00:00"/>
    <d v="2024-04-04T00:00:00"/>
    <n v="1"/>
    <s v="EA"/>
    <n v="1450000"/>
    <n v="-68337.67"/>
    <n v="1381662.33"/>
    <x v="0"/>
  </r>
  <r>
    <s v="108719"/>
    <s v="10027001"/>
    <s v="Lightning arrestors NIDP"/>
    <s v="0100000023"/>
    <x v="2"/>
    <s v="Supply of 10kA, 198KV ightring Arrestor with insul"/>
    <d v="2024-04-04T00:00:00"/>
    <d v="2024-04-04T00:00:00"/>
    <d v="2024-04-04T00:00:00"/>
    <n v="6"/>
    <s v="NOS"/>
    <n v="393000"/>
    <n v="-18521.86"/>
    <n v="374478.14"/>
    <x v="0"/>
  </r>
  <r>
    <s v="108720"/>
    <s v="10027001"/>
    <s v="Lightning arrestors NIDP"/>
    <s v="0100000023"/>
    <x v="2"/>
    <s v="Supply of 10kA, 198KV Lightning Arrestor with ins"/>
    <d v="2024-04-04T00:00:00"/>
    <d v="2024-04-04T00:00:00"/>
    <d v="2024-04-04T00:00:00"/>
    <n v="6"/>
    <s v="NOS"/>
    <n v="393000"/>
    <n v="-18521.865000000002"/>
    <n v="374478.13500000001"/>
    <x v="0"/>
  </r>
  <r>
    <s v="108720a"/>
    <m/>
    <m/>
    <m/>
    <x v="2"/>
    <s v="Supply of 10kA, 198KV Lightning Arrestor with ins"/>
    <d v="2024-04-04T00:00:00"/>
    <m/>
    <m/>
    <n v="3"/>
    <s v="NOS"/>
    <n v="196500"/>
    <n v="-9260.9325000000008"/>
    <n v="187239.0675"/>
    <x v="1"/>
  </r>
  <r>
    <s v="108720b"/>
    <m/>
    <m/>
    <m/>
    <x v="2"/>
    <s v="Supply of 10kA, 198KV Lightning Arrestor with ins"/>
    <d v="2024-04-04T00:00:00"/>
    <m/>
    <m/>
    <n v="15"/>
    <s v="NOS"/>
    <n v="982500"/>
    <n v="-46304.662500000006"/>
    <n v="936195.33750000002"/>
    <x v="1"/>
  </r>
  <r>
    <s v="108721"/>
    <s v="10037001"/>
    <s v="Transformers (Others) NIDP"/>
    <s v="0100000032"/>
    <x v="0"/>
    <s v="220 kV, 40kA for 3 Sec, PT 220"/>
    <d v="2024-04-04T00:00:00"/>
    <d v="2024-04-04T00:00:00"/>
    <d v="2024-04-04T00:00:00"/>
    <n v="1"/>
    <s v="NOS"/>
    <n v="320129"/>
    <n v="-74087.460000000006"/>
    <n v="305041.5"/>
    <x v="0"/>
  </r>
  <r>
    <s v="108722"/>
    <s v="10037001"/>
    <s v="Transformers (Others) NIDP"/>
    <s v="0100000032"/>
    <x v="0"/>
    <s v="220 kV, 40kA for 3 Sec, PT 220"/>
    <d v="2024-04-04T00:00:00"/>
    <d v="2024-04-04T00:00:00"/>
    <d v="2024-04-04T00:00:00"/>
    <n v="1"/>
    <s v="NOS"/>
    <n v="320129"/>
    <n v="-15087.5"/>
    <n v="305041.5"/>
    <x v="0"/>
  </r>
  <r>
    <s v="108723"/>
    <s v="10037001"/>
    <s v="Transformers (Others) NIDP"/>
    <s v="0100000032"/>
    <x v="0"/>
    <s v="220 kV, 40kA for 3 Sec, PT 220"/>
    <d v="2024-04-04T00:00:00"/>
    <d v="2024-04-04T00:00:00"/>
    <d v="2024-04-04T00:00:00"/>
    <n v="1"/>
    <s v="NOS"/>
    <n v="320129"/>
    <n v="-15087.5"/>
    <n v="305041.5"/>
    <x v="0"/>
  </r>
  <r>
    <s v="108724"/>
    <s v="10037001"/>
    <s v="Transformers (Others) NIDP"/>
    <s v="0100000032"/>
    <x v="0"/>
    <s v="220 kV, 40kA for 3 Sec, PT 220"/>
    <d v="2024-04-04T00:00:00"/>
    <d v="2024-04-04T00:00:00"/>
    <d v="2024-04-04T00:00:00"/>
    <n v="1"/>
    <s v="NOS"/>
    <n v="320129"/>
    <n v="-15087.5"/>
    <n v="305041.5"/>
    <x v="0"/>
  </r>
  <r>
    <s v="108725"/>
    <s v="10037001"/>
    <s v="Transformers (Others) NIDP"/>
    <s v="0100000032"/>
    <x v="0"/>
    <s v="220 kV, 40kA for 3 Sec, PT 220"/>
    <d v="2024-04-04T00:00:00"/>
    <d v="2024-04-04T00:00:00"/>
    <d v="2024-04-04T00:00:00"/>
    <n v="1"/>
    <s v="NOS"/>
    <n v="320129"/>
    <n v="-15087.5"/>
    <n v="305041.5"/>
    <x v="0"/>
  </r>
  <r>
    <s v="108726"/>
    <s v="10037001"/>
    <s v="Transformers (Others) NIDP"/>
    <s v="0100000032"/>
    <x v="0"/>
    <s v="220 kV, 40kA for 3 Sec, PT 220"/>
    <d v="2024-04-04T00:00:00"/>
    <d v="2024-04-04T00:00:00"/>
    <d v="2024-04-04T00:00:00"/>
    <n v="1"/>
    <s v="NOS"/>
    <n v="320129"/>
    <n v="-15087.5"/>
    <n v="305041.5"/>
    <x v="0"/>
  </r>
  <r>
    <s v="108727"/>
    <s v="10037001"/>
    <s v="Transformers (Others) NIDP"/>
    <s v="0100000032"/>
    <x v="0"/>
    <s v="220 kV, 40kA for 3 Sec, PT 220"/>
    <d v="2024-04-04T00:00:00"/>
    <d v="2024-04-04T00:00:00"/>
    <d v="2024-04-04T00:00:00"/>
    <n v="1"/>
    <s v="NOS"/>
    <n v="320128.46000000002"/>
    <n v="-15087.47"/>
    <n v="305040.99"/>
    <x v="0"/>
  </r>
  <r>
    <s v="108728"/>
    <s v="10037001"/>
    <s v="Transformers (Others) NIDP"/>
    <s v="0100000032"/>
    <x v="0"/>
    <s v="220 kV, 40kA for 3 Sec, PT 220"/>
    <d v="2024-04-04T00:00:00"/>
    <d v="2024-04-04T00:00:00"/>
    <d v="2024-04-04T00:00:00"/>
    <n v="1"/>
    <s v="NOS"/>
    <n v="320129"/>
    <n v="-15087.5"/>
    <n v="305041.5"/>
    <x v="0"/>
  </r>
  <r>
    <s v="108729"/>
    <s v="10037001"/>
    <s v="Transformers (Others) NIDP"/>
    <s v="0100000032"/>
    <x v="0"/>
    <s v="220 kV, 40kA for 3 Sec, PT 220"/>
    <d v="2024-04-04T00:00:00"/>
    <d v="2024-04-04T00:00:00"/>
    <d v="2024-04-04T00:00:00"/>
    <n v="1"/>
    <s v="NOS"/>
    <n v="320129"/>
    <n v="-15087.5"/>
    <n v="305041.5"/>
    <x v="0"/>
  </r>
  <r>
    <s v="108730"/>
    <s v="10037001"/>
    <s v="Transformers (Others) NIDP"/>
    <s v="0100000032"/>
    <x v="0"/>
    <s v="220 kV, 40kA for 3 Sec, PT 220"/>
    <d v="2024-04-04T00:00:00"/>
    <d v="2024-04-04T00:00:00"/>
    <d v="2024-04-04T00:00:00"/>
    <n v="1"/>
    <s v="NOS"/>
    <n v="320129"/>
    <n v="-15087.5"/>
    <n v="305041.5"/>
    <x v="0"/>
  </r>
  <r>
    <s v="108731"/>
    <s v="10037001"/>
    <s v="Transformers (Others) NIDP"/>
    <s v="0100000032"/>
    <x v="0"/>
    <s v="220 kV, 40kA for 3 Sec, PT 220"/>
    <d v="2024-04-04T00:00:00"/>
    <d v="2024-04-04T00:00:00"/>
    <d v="2024-04-04T00:00:00"/>
    <n v="1"/>
    <s v="NOS"/>
    <n v="320129"/>
    <n v="-15087.5"/>
    <n v="305041.5"/>
    <x v="0"/>
  </r>
  <r>
    <s v="108732"/>
    <s v="10037001"/>
    <s v="Transformers (Others) NIDP"/>
    <s v="0100000032"/>
    <x v="0"/>
    <s v="220 kV, 40kA for 3 Sec, PT 220"/>
    <d v="2024-04-04T00:00:00"/>
    <d v="2024-04-04T00:00:00"/>
    <d v="2024-04-04T00:00:00"/>
    <n v="1"/>
    <s v="NOS"/>
    <n v="320129"/>
    <n v="-15087.5"/>
    <n v="305041.5"/>
    <x v="0"/>
  </r>
  <r>
    <s v="108733"/>
    <s v="10024001"/>
    <s v="Other Assets covered NIDP"/>
    <s v="0100000020"/>
    <x v="4"/>
    <s v="Supply of Earthing of complete switchyard GI Str"/>
    <d v="2024-04-04T00:00:00"/>
    <d v="2024-04-04T00:00:00"/>
    <d v="2024-04-04T00:00:00"/>
    <n v="0.45454545454545453"/>
    <s v="NOS"/>
    <n v="4363636.3636363633"/>
    <n v="-205655.67272727273"/>
    <n v="4157980.6909090905"/>
    <x v="0"/>
  </r>
  <r>
    <s v="108733a"/>
    <m/>
    <m/>
    <m/>
    <x v="4"/>
    <s v="Supply of Earthing of complete switchyard GI Str"/>
    <d v="2024-04-04T00:00:00"/>
    <m/>
    <m/>
    <n v="9.0909090909090912E-2"/>
    <s v="NOS"/>
    <n v="872727.27272727271"/>
    <n v="-41131.134545454544"/>
    <n v="831596.13818181818"/>
    <x v="1"/>
  </r>
  <r>
    <s v="108733b"/>
    <m/>
    <m/>
    <m/>
    <x v="4"/>
    <s v="Supply of Earthing of complete switchyard GI Str"/>
    <d v="2024-04-04T00:00:00"/>
    <m/>
    <m/>
    <n v="0.45454545454545453"/>
    <s v="NOS"/>
    <n v="4363636.3636363633"/>
    <n v="-205655.67272727273"/>
    <n v="4157980.6909090905"/>
    <x v="1"/>
  </r>
  <r>
    <s v="108734"/>
    <s v="10021001"/>
    <s v="Transformers (including foundations) NIDP"/>
    <s v="0100000017"/>
    <x v="1"/>
    <s v="Supply of ACSR Conductor"/>
    <d v="2024-04-04T00:00:00"/>
    <d v="2024-04-04T00:00:00"/>
    <d v="2024-04-04T00:00:00"/>
    <n v="0.45454545454545453"/>
    <s v="AU"/>
    <n v="1940227.2727272727"/>
    <n v="-91441.795454545456"/>
    <n v="1848785.4772727273"/>
    <x v="0"/>
  </r>
  <r>
    <s v="108734a"/>
    <m/>
    <m/>
    <m/>
    <x v="1"/>
    <s v="Supply of ACSR Conductor"/>
    <d v="2024-04-04T00:00:00"/>
    <m/>
    <m/>
    <n v="9.0909090909090912E-2"/>
    <s v="AU"/>
    <n v="388045.45454545453"/>
    <n v="-18288.359090909093"/>
    <n v="369757.09545454546"/>
    <x v="1"/>
  </r>
  <r>
    <s v="108734b"/>
    <m/>
    <m/>
    <m/>
    <x v="1"/>
    <s v="Supply of ACSR Conductor"/>
    <d v="2024-04-04T00:00:00"/>
    <m/>
    <m/>
    <n v="0.45454545454545453"/>
    <s v="AU"/>
    <n v="1940227.2727272727"/>
    <n v="-91441.795454545456"/>
    <n v="1848785.4772727273"/>
    <x v="1"/>
  </r>
  <r>
    <s v="108735"/>
    <s v="10021001"/>
    <s v="Transformers (including foundations) NIDP"/>
    <s v="0100000017"/>
    <x v="1"/>
    <s v="Supply of 220 kv, 6 KN post insulator (BPI)"/>
    <d v="2024-04-04T00:00:00"/>
    <d v="2024-04-04T00:00:00"/>
    <d v="2024-04-04T00:00:00"/>
    <n v="0.45454545454545453"/>
    <s v="AU"/>
    <n v="1018181.8181818182"/>
    <n v="-47986.322727272731"/>
    <n v="970195.49545454537"/>
    <x v="0"/>
  </r>
  <r>
    <s v="108735a"/>
    <m/>
    <m/>
    <m/>
    <x v="1"/>
    <s v="Supply of 220 kv, 6 KN post insulator (BPI)"/>
    <d v="2024-04-04T00:00:00"/>
    <m/>
    <m/>
    <n v="9.0909090909090912E-2"/>
    <s v="AU"/>
    <n v="203636.36363636365"/>
    <n v="-9597.2645454545454"/>
    <n v="194039.09909090909"/>
    <x v="1"/>
  </r>
  <r>
    <s v="108735b"/>
    <m/>
    <m/>
    <m/>
    <x v="1"/>
    <s v="Supply of 220 kv, 6 KN post insulator (BPI)"/>
    <d v="2024-04-04T00:00:00"/>
    <m/>
    <m/>
    <n v="0.45454545454545453"/>
    <s v="AU"/>
    <n v="1018181.8181818182"/>
    <n v="-47986.322727272731"/>
    <n v="970195.49545454537"/>
    <x v="1"/>
  </r>
  <r>
    <s v="108736"/>
    <s v="10021001"/>
    <s v="Transformers (including foundations) NIDP"/>
    <s v="0100000017"/>
    <x v="1"/>
    <s v="Supply of 220kV, 1250A, 40kA for 3 sec, outdoor type Isolator with earth switch"/>
    <d v="2024-04-04T00:00:00"/>
    <d v="2024-04-04T00:00:00"/>
    <d v="2024-04-04T00:00:00"/>
    <n v="9"/>
    <s v="SET"/>
    <n v="3906179.66"/>
    <n v="-184096"/>
    <n v="3722083.66"/>
    <x v="1"/>
  </r>
  <r>
    <s v="108737"/>
    <s v="10024001"/>
    <s v="Other Assets covered NIDP"/>
    <s v="0100000020"/>
    <x v="4"/>
    <s v="supply of earthing of complete switchyard MS Rod 1"/>
    <d v="2024-04-04T00:00:00"/>
    <d v="2024-04-04T00:00:00"/>
    <d v="2024-04-04T00:00:00"/>
    <n v="0.45454545454545453"/>
    <s v="NOS"/>
    <n v="5687545.4545454541"/>
    <n v="-268050.74545454548"/>
    <n v="5419494.709090909"/>
    <x v="0"/>
  </r>
  <r>
    <s v="108737a"/>
    <m/>
    <m/>
    <m/>
    <x v="4"/>
    <s v="supply of earthing of complete switchyard MS Rod 1"/>
    <d v="2024-04-04T00:00:00"/>
    <m/>
    <m/>
    <n v="9.0909090909090912E-2"/>
    <s v="NOS"/>
    <n v="1137509.0909090908"/>
    <n v="-53610.149090909094"/>
    <n v="1083898.9418181817"/>
    <x v="1"/>
  </r>
  <r>
    <s v="108737b"/>
    <m/>
    <m/>
    <m/>
    <x v="4"/>
    <s v="supply of earthing of complete switchyard MS Rod 1"/>
    <d v="2024-04-04T00:00:00"/>
    <m/>
    <m/>
    <n v="0.45454545454545453"/>
    <s v="NOS"/>
    <n v="5687545.4545454541"/>
    <n v="-268050.74545454548"/>
    <n v="5419494.709090909"/>
    <x v="1"/>
  </r>
  <r>
    <s v="108738"/>
    <s v="10021001"/>
    <s v="Transformers (including foundations) NIDP"/>
    <s v="0100000017"/>
    <x v="1"/>
    <s v="Supply of String Insulators"/>
    <d v="2024-04-04T00:00:00"/>
    <d v="2024-04-04T00:00:00"/>
    <d v="2024-04-04T00:00:00"/>
    <n v="0.45454545454545453"/>
    <s v="AU"/>
    <n v="1892045.4545454546"/>
    <n v="-89171.013636363641"/>
    <n v="1802874.4409090912"/>
    <x v="0"/>
  </r>
  <r>
    <s v="108738a"/>
    <m/>
    <m/>
    <m/>
    <x v="1"/>
    <s v="Supply of String Insulators"/>
    <d v="2024-04-04T00:00:00"/>
    <m/>
    <m/>
    <n v="9.0909090909090912E-2"/>
    <s v="AU"/>
    <n v="378409.09090909088"/>
    <n v="-17834.202727272728"/>
    <n v="360574.88818181818"/>
    <x v="1"/>
  </r>
  <r>
    <s v="108738b"/>
    <m/>
    <m/>
    <m/>
    <x v="1"/>
    <s v="Supply of String Insulators"/>
    <d v="2024-04-04T00:00:00"/>
    <m/>
    <m/>
    <n v="0.45454545454545453"/>
    <s v="AU"/>
    <n v="1892045.4545454546"/>
    <n v="-89171.013636363641"/>
    <n v="1802874.4409090912"/>
    <x v="1"/>
  </r>
  <r>
    <s v="108748"/>
    <s v="10028001"/>
    <s v="Communication equipment NIDP"/>
    <s v="0100000024"/>
    <x v="6"/>
    <s v="Supply of SCADA for Control &amp; Monitoring of Switch"/>
    <d v="2024-04-04T00:00:00"/>
    <d v="2024-04-04T00:00:00"/>
    <d v="2024-04-04T00:00:00"/>
    <n v="1"/>
    <s v="NOS"/>
    <n v="5841300"/>
    <n v="-330043.69"/>
    <n v="5511256.3099999996"/>
    <x v="0"/>
  </r>
  <r>
    <s v="108761"/>
    <s v="10027001"/>
    <s v="Lightning arrestors NIDP"/>
    <s v="0100000023"/>
    <x v="2"/>
    <s v="Supply of Complete illumination &amp; Lighting of Yar"/>
    <d v="2024-04-04T00:00:00"/>
    <d v="2024-04-04T00:00:00"/>
    <d v="2024-04-04T00:00:00"/>
    <n v="0.5"/>
    <s v="NOS"/>
    <n v="1975375.42"/>
    <n v="-93098.304999999993"/>
    <n v="1882277.115"/>
    <x v="0"/>
  </r>
  <r>
    <s v="108761a"/>
    <m/>
    <m/>
    <m/>
    <x v="2"/>
    <s v="Supply of Complete illumination &amp; Lighting of Yar"/>
    <d v="2024-04-04T00:00:00"/>
    <m/>
    <m/>
    <n v="0.5"/>
    <s v="NOS"/>
    <n v="1975375.42"/>
    <n v="-93098.304999999993"/>
    <n v="1882277.115"/>
    <x v="1"/>
  </r>
  <r>
    <s v="108762"/>
    <s v="10025001"/>
    <s v="Batteries NIDP"/>
    <s v="0100000021"/>
    <x v="7"/>
    <s v="Supply of Bateries for 5KVA UPS"/>
    <d v="2024-04-04T00:00:00"/>
    <d v="2024-04-04T00:00:00"/>
    <d v="2024-04-04T00:00:00"/>
    <n v="1"/>
    <s v="NOS"/>
    <n v="73250"/>
    <n v="-3452.23"/>
    <n v="69797.77"/>
    <x v="0"/>
  </r>
  <r>
    <s v="108763"/>
    <s v="10025001"/>
    <s v="Batteries NIDP"/>
    <s v="0100000021"/>
    <x v="7"/>
    <s v="Supply of Bateries for 5KVA UPS"/>
    <d v="2024-04-04T00:00:00"/>
    <d v="2024-04-04T00:00:00"/>
    <d v="2024-04-04T00:00:00"/>
    <n v="1"/>
    <s v="NOS"/>
    <n v="73250"/>
    <n v="-3452.23"/>
    <n v="69797.77"/>
    <x v="0"/>
  </r>
  <r>
    <s v="108764"/>
    <s v="10025001"/>
    <s v="Batteries NIDP"/>
    <s v="0100000021"/>
    <x v="7"/>
    <s v="Supply of Bateries for 5KVA UPS"/>
    <d v="2024-04-04T00:00:00"/>
    <d v="2024-04-04T00:00:00"/>
    <d v="2024-04-04T00:00:00"/>
    <n v="1"/>
    <s v="NOS"/>
    <n v="73250"/>
    <n v="-3452.23"/>
    <n v="69797.77"/>
    <x v="0"/>
  </r>
  <r>
    <s v="108765"/>
    <s v="10025001"/>
    <s v="Batteries NIDP"/>
    <s v="0100000021"/>
    <x v="7"/>
    <s v="Supply of Bateries for 5KVA UPS"/>
    <d v="2024-04-04T00:00:00"/>
    <d v="2024-04-04T00:00:00"/>
    <d v="2024-04-04T00:00:00"/>
    <n v="1"/>
    <s v="NOS"/>
    <n v="73250"/>
    <n v="-3452.23"/>
    <n v="69797.77"/>
    <x v="0"/>
  </r>
  <r>
    <s v="108766"/>
    <s v="10025001"/>
    <s v="Batteries NIDP"/>
    <s v="0100000021"/>
    <x v="7"/>
    <s v="Supply of Bateries for 5KVA UPS"/>
    <d v="2024-04-04T00:00:00"/>
    <d v="2024-04-04T00:00:00"/>
    <d v="2024-04-04T00:00:00"/>
    <n v="1"/>
    <s v="NOS"/>
    <n v="73250"/>
    <n v="-3452.23"/>
    <n v="69797.77"/>
    <x v="0"/>
  </r>
  <r>
    <s v="108767"/>
    <s v="10025001"/>
    <s v="Batteries NIDP"/>
    <s v="0100000021"/>
    <x v="7"/>
    <s v="Supply of Bateries for 5KVA UPS"/>
    <d v="2024-04-04T00:00:00"/>
    <d v="2024-04-04T00:00:00"/>
    <d v="2024-04-04T00:00:00"/>
    <n v="1"/>
    <s v="NOS"/>
    <n v="73250"/>
    <n v="-3452.23"/>
    <n v="69797.77"/>
    <x v="1"/>
  </r>
  <r>
    <s v="108768"/>
    <s v="10025001"/>
    <s v="Batteries NIDP"/>
    <s v="0100000021"/>
    <x v="7"/>
    <s v="Supply of Bateries for 5KVA UPS"/>
    <d v="2024-04-04T00:00:00"/>
    <d v="2024-04-04T00:00:00"/>
    <d v="2024-04-04T00:00:00"/>
    <n v="1"/>
    <s v="NOS"/>
    <n v="73250"/>
    <n v="-3452.23"/>
    <n v="69797.77"/>
    <x v="1"/>
  </r>
  <r>
    <s v="108769"/>
    <s v="10025001"/>
    <s v="Batteries NIDP"/>
    <s v="0100000021"/>
    <x v="7"/>
    <s v="Supply of Bateries for 5KVA UPS"/>
    <d v="2024-04-04T00:00:00"/>
    <d v="2024-04-04T00:00:00"/>
    <d v="2024-04-04T00:00:00"/>
    <n v="1"/>
    <s v="NOS"/>
    <n v="73250"/>
    <n v="-3452.23"/>
    <n v="69797.77"/>
    <x v="1"/>
  </r>
  <r>
    <s v="108770"/>
    <s v="10025001"/>
    <s v="Batteries NIDP"/>
    <s v="0100000021"/>
    <x v="7"/>
    <s v="Supply of Bateries for 5KVA UPS"/>
    <d v="2024-04-04T00:00:00"/>
    <d v="2024-04-04T00:00:00"/>
    <d v="2024-04-04T00:00:00"/>
    <n v="1"/>
    <s v="NOS"/>
    <n v="73250"/>
    <n v="-3452.23"/>
    <n v="69797.77"/>
    <x v="1"/>
  </r>
  <r>
    <s v="108771"/>
    <s v="10025001"/>
    <s v="Batteries NIDP"/>
    <s v="0100000021"/>
    <x v="7"/>
    <s v="Supply of Bateries for 5KVA UPS"/>
    <d v="2024-04-04T00:00:00"/>
    <d v="2024-04-04T00:00:00"/>
    <d v="2024-04-04T00:00:00"/>
    <n v="1"/>
    <s v="NOS"/>
    <n v="73250"/>
    <n v="-3452.23"/>
    <n v="69797.77"/>
    <x v="1"/>
  </r>
  <r>
    <s v="108772"/>
    <s v="10025001"/>
    <s v="Batteries NIDP"/>
    <s v="0100000021"/>
    <x v="7"/>
    <s v="Supply of Bateries for 5KVA UPS"/>
    <d v="2024-04-04T00:00:00"/>
    <d v="2024-04-04T00:00:00"/>
    <d v="2024-04-04T00:00:00"/>
    <n v="1"/>
    <s v="NOS"/>
    <n v="73250"/>
    <n v="-3452.23"/>
    <n v="69797.77"/>
    <x v="1"/>
  </r>
  <r>
    <s v="108773"/>
    <s v="10025001"/>
    <s v="Batteries NIDP"/>
    <s v="0100000021"/>
    <x v="7"/>
    <s v="Supply of of 5KVA UPS with 220V DC Power Pack"/>
    <d v="2024-04-04T00:00:00"/>
    <d v="2024-04-04T00:00:00"/>
    <d v="2024-04-04T00:00:00"/>
    <n v="1"/>
    <s v="AU"/>
    <n v="73250.84"/>
    <n v="-3452.27"/>
    <n v="69798.570000000007"/>
    <x v="0"/>
  </r>
  <r>
    <s v="108774"/>
    <s v="10025001"/>
    <s v="Batteries NIDP"/>
    <s v="0100000021"/>
    <x v="7"/>
    <s v="Supply of of 5KVA UPS with 220V DC Power Pack"/>
    <d v="2024-04-04T00:00:00"/>
    <d v="2024-04-04T00:00:00"/>
    <d v="2024-04-04T00:00:00"/>
    <n v="1"/>
    <s v="AU"/>
    <n v="73250"/>
    <n v="-3452.23"/>
    <n v="69797.77"/>
    <x v="0"/>
  </r>
  <r>
    <s v="108775"/>
    <s v="10025001"/>
    <s v="Batteries NIDP"/>
    <s v="0100000021"/>
    <x v="7"/>
    <s v="Supply of of 5KVA UPS with 220V DC Power Pack"/>
    <d v="2024-04-04T00:00:00"/>
    <d v="2024-04-04T00:00:00"/>
    <d v="2024-04-04T00:00:00"/>
    <n v="1"/>
    <s v="AU"/>
    <n v="73250"/>
    <n v="-3452.23"/>
    <n v="69797.77"/>
    <x v="0"/>
  </r>
  <r>
    <s v="108776"/>
    <s v="10025001"/>
    <s v="Batteries NIDP"/>
    <s v="0100000021"/>
    <x v="7"/>
    <s v="Supply of of 5KVA UPS with 220V DC Power Pack"/>
    <d v="2024-04-04T00:00:00"/>
    <d v="2024-04-04T00:00:00"/>
    <d v="2024-04-04T00:00:00"/>
    <n v="1"/>
    <s v="AU"/>
    <n v="73250"/>
    <n v="-3452.23"/>
    <n v="69797.77"/>
    <x v="0"/>
  </r>
  <r>
    <s v="108777"/>
    <s v="10025001"/>
    <s v="Batteries NIDP"/>
    <s v="0100000021"/>
    <x v="7"/>
    <s v="Supply of of 5KVA UPS with 220V DC Power Pack"/>
    <d v="2024-04-04T00:00:00"/>
    <d v="2024-04-04T00:00:00"/>
    <d v="2024-04-04T00:00:00"/>
    <n v="1"/>
    <s v="AU"/>
    <n v="73250"/>
    <n v="-3452.23"/>
    <n v="69797.77"/>
    <x v="0"/>
  </r>
  <r>
    <s v="108778"/>
    <s v="10025001"/>
    <s v="Batteries NIDP"/>
    <s v="0100000021"/>
    <x v="7"/>
    <s v="Supply of of 5KVA UPS with 220V DC Power Pack"/>
    <d v="2024-04-04T00:00:00"/>
    <d v="2024-04-04T00:00:00"/>
    <d v="2024-04-04T00:00:00"/>
    <n v="1"/>
    <s v="AU"/>
    <n v="73250"/>
    <n v="-3452.23"/>
    <n v="69797.77"/>
    <x v="1"/>
  </r>
  <r>
    <s v="108779"/>
    <s v="10025001"/>
    <s v="Batteries NIDP"/>
    <s v="0100000021"/>
    <x v="7"/>
    <s v="Supply of of 5KVA UPS with 220V DC Power Pack"/>
    <d v="2024-04-04T00:00:00"/>
    <d v="2024-04-04T00:00:00"/>
    <d v="2024-04-04T00:00:00"/>
    <n v="1"/>
    <s v="AU"/>
    <n v="73250"/>
    <n v="-3452.23"/>
    <n v="69797.77"/>
    <x v="1"/>
  </r>
  <r>
    <s v="108780"/>
    <s v="10025001"/>
    <s v="Batteries NIDP"/>
    <s v="0100000021"/>
    <x v="7"/>
    <s v="Supply of of 5KVA UPS with 220V DC Power Pack"/>
    <d v="2024-04-04T00:00:00"/>
    <d v="2024-04-04T00:00:00"/>
    <d v="2024-04-04T00:00:00"/>
    <n v="1"/>
    <s v="AU"/>
    <n v="73250"/>
    <n v="-3452.23"/>
    <n v="69797.77"/>
    <x v="1"/>
  </r>
  <r>
    <s v="108781"/>
    <s v="10025001"/>
    <s v="Batteries NIDP"/>
    <s v="0100000021"/>
    <x v="7"/>
    <s v="Supply of of 5KVA UPS with 220V DC Power Pack"/>
    <d v="2024-04-04T00:00:00"/>
    <d v="2024-04-04T00:00:00"/>
    <d v="2024-04-04T00:00:00"/>
    <n v="1"/>
    <s v="AU"/>
    <n v="73250"/>
    <n v="-3452.23"/>
    <n v="69797.77"/>
    <x v="1"/>
  </r>
  <r>
    <s v="108782"/>
    <s v="10025001"/>
    <s v="Batteries NIDP"/>
    <s v="0100000021"/>
    <x v="7"/>
    <s v="Supply of of 5KVA UPS with 220V DC Power Pack"/>
    <d v="2024-04-04T00:00:00"/>
    <d v="2024-04-04T00:00:00"/>
    <d v="2024-04-04T00:00:00"/>
    <n v="1"/>
    <s v="AU"/>
    <n v="73250"/>
    <n v="-3452.23"/>
    <n v="69797.77"/>
    <x v="1"/>
  </r>
  <r>
    <s v="108783"/>
    <s v="10025001"/>
    <s v="Batteries NIDP"/>
    <s v="0100000021"/>
    <x v="7"/>
    <s v="Supply of of 5KVA UPS with 220V DC Power Pack"/>
    <d v="2024-04-04T00:00:00"/>
    <d v="2024-04-04T00:00:00"/>
    <d v="2024-04-04T00:00:00"/>
    <n v="1"/>
    <s v="AU"/>
    <n v="73250"/>
    <n v="-3452.23"/>
    <n v="69797.77"/>
    <x v="1"/>
  </r>
  <r>
    <s v="108785"/>
    <s v="10029001"/>
    <s v="Air Static conditioning NIDP"/>
    <s v="0100000025"/>
    <x v="8"/>
    <s v="Supply of 10NOS. 2TON 3 STAR Air Conditioner"/>
    <d v="2024-04-04T00:00:00"/>
    <d v="2024-04-04T00:00:00"/>
    <d v="2024-04-04T00:00:00"/>
    <n v="1"/>
    <s v="NOS"/>
    <n v="480000"/>
    <n v="-22622.12"/>
    <n v="457377.88"/>
    <x v="0"/>
  </r>
  <r>
    <s v="108786"/>
    <s v="10031001"/>
    <s v="Meters - NIDP"/>
    <s v="0100000026"/>
    <x v="5"/>
    <s v="Supply of ABT Compliant Energy Meter with port for"/>
    <d v="2024-04-04T00:00:00"/>
    <d v="2024-04-04T00:00:00"/>
    <d v="2024-04-04T00:00:00"/>
    <n v="2"/>
    <s v="NOS"/>
    <n v="1601770.34"/>
    <n v="-75490.509999999995"/>
    <n v="1526279.83"/>
    <x v="0"/>
  </r>
  <r>
    <s v="108787"/>
    <s v="10037001"/>
    <s v="Transformers (Others) NIDP"/>
    <s v="0100000032"/>
    <x v="0"/>
    <s v="220KV BUS PT &amp; BUS COUPLER"/>
    <d v="2024-04-04T00:00:00"/>
    <d v="2024-04-04T00:00:00"/>
    <d v="2024-04-04T00:00:00"/>
    <n v="1"/>
    <s v="NOS"/>
    <n v="320128.26"/>
    <n v="-15087.46"/>
    <n v="305040.8"/>
    <x v="0"/>
  </r>
  <r>
    <s v="108788"/>
    <s v="10037001"/>
    <s v="Transformers (Others) NIDP"/>
    <s v="0100000032"/>
    <x v="0"/>
    <s v="220KV BUS PT &amp; BUS COUPLER"/>
    <d v="2024-04-04T00:00:00"/>
    <d v="2024-04-04T00:00:00"/>
    <d v="2024-04-04T00:00:00"/>
    <n v="1"/>
    <s v="NOS"/>
    <n v="320129"/>
    <n v="-15087.5"/>
    <n v="305041.5"/>
    <x v="0"/>
  </r>
  <r>
    <s v="108789"/>
    <s v="10037001"/>
    <s v="Transformers (Others) NIDP"/>
    <s v="0100000032"/>
    <x v="0"/>
    <s v="220KV BUS PT &amp; BUS COUPLER"/>
    <d v="2024-04-04T00:00:00"/>
    <d v="2024-04-04T00:00:00"/>
    <d v="2024-04-04T00:00:00"/>
    <n v="1"/>
    <s v="NOS"/>
    <n v="320129"/>
    <n v="-15087.5"/>
    <n v="305041.5"/>
    <x v="0"/>
  </r>
  <r>
    <s v="108790"/>
    <s v="10037001"/>
    <s v="Transformers (Others) NIDP"/>
    <s v="0100000032"/>
    <x v="0"/>
    <s v="220KV BUS PT &amp; BUS COUPLER"/>
    <d v="2024-04-04T00:00:00"/>
    <d v="2024-04-04T00:00:00"/>
    <d v="2024-04-04T00:00:00"/>
    <n v="1"/>
    <s v="NOS"/>
    <n v="320129"/>
    <n v="-15087.5"/>
    <n v="305041.5"/>
    <x v="0"/>
  </r>
  <r>
    <s v="108791"/>
    <s v="10021001"/>
    <s v="Transformers (including foundations) NIDP"/>
    <s v="0100000017"/>
    <x v="1"/>
    <s v="SUPPLY OF 220KV, 40KA FOR 3 SEC, CURRENT TRANSFROM"/>
    <d v="2024-04-04T00:00:00"/>
    <d v="2024-04-04T00:00:00"/>
    <d v="2024-04-04T00:00:00"/>
    <n v="1"/>
    <s v="NOS"/>
    <n v="344753.36"/>
    <n v="-16248.03"/>
    <n v="328505.33"/>
    <x v="0"/>
  </r>
  <r>
    <s v="108792"/>
    <s v="10021001"/>
    <s v="Transformers (including foundations) NIDP"/>
    <s v="0100000017"/>
    <x v="1"/>
    <s v="SUPPLY OF 220KV, 40KA FOR 3 SEC, CURRENT TRANSFROM"/>
    <d v="2024-04-04T00:00:00"/>
    <d v="2024-04-04T00:00:00"/>
    <d v="2024-04-04T00:00:00"/>
    <n v="1"/>
    <s v="NOS"/>
    <n v="344754"/>
    <n v="-16248.06"/>
    <n v="328505.94"/>
    <x v="0"/>
  </r>
  <r>
    <s v="108793"/>
    <s v="10021001"/>
    <s v="Transformers (including foundations) NIDP"/>
    <s v="0100000017"/>
    <x v="1"/>
    <s v="SUPPLY OF 220KV, 40KA FOR 3 SEC, CURRENT TRANSFROM"/>
    <d v="2024-04-04T00:00:00"/>
    <d v="2024-04-04T00:00:00"/>
    <d v="2024-04-04T00:00:00"/>
    <n v="1"/>
    <s v="NOS"/>
    <n v="344754"/>
    <n v="-16248.06"/>
    <n v="328505.94"/>
    <x v="0"/>
  </r>
  <r>
    <s v="108794"/>
    <s v="10021001"/>
    <s v="Transformers (including foundations) NIDP"/>
    <s v="0100000017"/>
    <x v="1"/>
    <s v="SUPPLY OF 220KV, 40KA FOR 3 SEC, CURRENT TRANSFROM"/>
    <d v="2024-04-04T00:00:00"/>
    <d v="2024-04-04T00:00:00"/>
    <d v="2024-04-04T00:00:00"/>
    <n v="1"/>
    <s v="NOS"/>
    <n v="344754"/>
    <n v="-16248.06"/>
    <n v="328505.94"/>
    <x v="0"/>
  </r>
  <r>
    <s v="108795"/>
    <s v="10037001"/>
    <s v="Transformers (Others) NIDP"/>
    <s v="0100000032"/>
    <x v="0"/>
    <s v="Supply of 220 kV, 40kA for 3 Sec., Current Transf"/>
    <d v="2024-04-04T00:00:00"/>
    <d v="2024-04-04T00:00:00"/>
    <d v="2024-04-04T00:00:00"/>
    <n v="1"/>
    <s v="NOS"/>
    <n v="344754"/>
    <n v="-16248.06"/>
    <n v="328505.94"/>
    <x v="0"/>
  </r>
  <r>
    <s v="108796"/>
    <s v="10037001"/>
    <s v="Transformers (Others) NIDP"/>
    <s v="0100000032"/>
    <x v="0"/>
    <s v="Supply of 220 kV, 40kA for 3 Sec., Current Transf"/>
    <d v="2024-04-04T00:00:00"/>
    <d v="2024-04-04T00:00:00"/>
    <d v="2024-04-04T00:00:00"/>
    <n v="1"/>
    <s v="NOS"/>
    <n v="344754"/>
    <n v="-16248.06"/>
    <n v="328505.94"/>
    <x v="0"/>
  </r>
  <r>
    <s v="108797"/>
    <s v="10037001"/>
    <s v="Transformers (Others) NIDP"/>
    <s v="0100000032"/>
    <x v="0"/>
    <s v="Supply of 220 kV, 40kA for 3 Sec., Current Transf"/>
    <d v="2024-04-04T00:00:00"/>
    <d v="2024-04-04T00:00:00"/>
    <d v="2024-04-04T00:00:00"/>
    <n v="1"/>
    <s v="NOS"/>
    <n v="320129"/>
    <n v="-15087.5"/>
    <n v="305041.5"/>
    <x v="0"/>
  </r>
  <r>
    <s v="108798"/>
    <s v="10037001"/>
    <s v="Transformers (Others) NIDP"/>
    <s v="0100000032"/>
    <x v="0"/>
    <s v="Supply of 220 kV, 40kA for 3 Sec., Current Transf"/>
    <d v="2024-04-04T00:00:00"/>
    <d v="2024-04-04T00:00:00"/>
    <d v="2024-04-04T00:00:00"/>
    <n v="1"/>
    <s v="NOS"/>
    <n v="320129"/>
    <n v="-15087.5"/>
    <n v="305041.5"/>
    <x v="0"/>
  </r>
  <r>
    <s v="108809"/>
    <s v="10028001"/>
    <s v="Communication equipment NIDP"/>
    <s v="0100000024"/>
    <x v="6"/>
    <s v="Supply of FOTE Panel with 04 direction STM -16 s"/>
    <d v="2024-04-04T00:00:00"/>
    <d v="2024-04-04T00:00:00"/>
    <d v="2024-04-04T00:00:00"/>
    <n v="1"/>
    <s v="EA"/>
    <n v="6813000"/>
    <n v="-384946.45"/>
    <n v="6428053.5499999998"/>
    <x v="0"/>
  </r>
  <r>
    <s v="108810"/>
    <s v="10028001"/>
    <s v="Communication equipment NIDP"/>
    <s v="0100000024"/>
    <x v="6"/>
    <s v="Supply of FOTE Panel with 04 direction STM -16 s"/>
    <d v="2024-04-04T00:00:00"/>
    <d v="2024-04-04T00:00:00"/>
    <d v="2024-04-04T00:00:00"/>
    <n v="1"/>
    <s v="EA"/>
    <n v="6813000"/>
    <n v="-384946.45"/>
    <n v="6428053.5499999998"/>
    <x v="0"/>
  </r>
  <r>
    <s v="108811"/>
    <s v="10028001"/>
    <s v="Communication equipment NIDP"/>
    <s v="0100000024"/>
    <x v="6"/>
    <s v="Supply of FOTE Panel with 04 direction STM -16 s"/>
    <d v="2024-04-04T00:00:00"/>
    <d v="2024-04-04T00:00:00"/>
    <d v="2024-04-04T00:00:00"/>
    <n v="1"/>
    <s v="EA"/>
    <n v="6813000"/>
    <n v="-384946.45"/>
    <n v="6428053.5499999998"/>
    <x v="0"/>
  </r>
  <r>
    <s v="108823"/>
    <s v="10024001"/>
    <s v="Other Assets covered NIDP"/>
    <s v="0100000020"/>
    <x v="4"/>
    <s v="LIU 24 Ports LC"/>
    <d v="2024-04-04T00:00:00"/>
    <d v="2024-04-04T00:00:00"/>
    <d v="2024-04-04T00:00:00"/>
    <n v="3"/>
    <s v="NOS"/>
    <n v="29700"/>
    <n v="-1399.74"/>
    <n v="28300.26"/>
    <x v="0"/>
  </r>
  <r>
    <s v="108824"/>
    <s v="10024001"/>
    <s v="Other Assets covered NIDP"/>
    <s v="0100000020"/>
    <x v="4"/>
    <s v="FLEXIBLE CAT 6 CABLE"/>
    <d v="2024-04-04T00:00:00"/>
    <d v="2024-04-04T00:00:00"/>
    <d v="2024-04-04T00:00:00"/>
    <n v="1525"/>
    <s v="M"/>
    <n v="47274.58"/>
    <n v="-2228.02"/>
    <n v="45046.559999999998"/>
    <x v="0"/>
  </r>
  <r>
    <s v="108825"/>
    <s v="10024001"/>
    <s v="Other Assets covered NIDP"/>
    <s v="0100000020"/>
    <x v="4"/>
    <s v="VIVOTEK FD 9369 Indoor Dome, Fixed Lens Camera wi"/>
    <d v="2024-04-04T00:00:00"/>
    <d v="2024-04-04T00:00:00"/>
    <d v="2024-04-04T00:00:00"/>
    <n v="28"/>
    <s v="NOS"/>
    <n v="261799.9"/>
    <n v="-12338.48"/>
    <n v="249461.42"/>
    <x v="0"/>
  </r>
  <r>
    <s v="108826"/>
    <s v="10024001"/>
    <s v="Other Assets covered NIDP"/>
    <s v="0100000020"/>
    <x v="4"/>
    <s v="Outdoor Box/Bullet Varifocal Lens Camera with nese"/>
    <d v="2024-04-04T00:00:00"/>
    <d v="2024-04-04T00:00:00"/>
    <d v="2024-04-04T00:00:00"/>
    <n v="8"/>
    <s v="NOS"/>
    <n v="264000"/>
    <n v="-12442.17"/>
    <n v="251557.83"/>
    <x v="0"/>
  </r>
  <r>
    <s v="108827"/>
    <s v="10024001"/>
    <s v="Other Assets covered NIDP"/>
    <s v="0100000020"/>
    <x v="4"/>
    <s v="Supply of Edge Switch : 24 port layer 2 POE Manag"/>
    <d v="2024-04-04T00:00:00"/>
    <d v="2024-04-04T00:00:00"/>
    <d v="2024-04-04T00:00:00"/>
    <n v="2"/>
    <s v="NOS"/>
    <n v="775010"/>
    <n v="-36525.78"/>
    <n v="738484.22"/>
    <x v="0"/>
  </r>
  <r>
    <s v="108828"/>
    <s v="10024001"/>
    <s v="Other Assets covered NIDP"/>
    <s v="0100000020"/>
    <x v="4"/>
    <s v="Patch Panels 24 Ports"/>
    <d v="2024-04-04T00:00:00"/>
    <d v="2024-04-04T00:00:00"/>
    <d v="2024-04-04T00:00:00"/>
    <n v="2"/>
    <s v="NOS"/>
    <n v="10956"/>
    <n v="-516.35"/>
    <n v="10439.65"/>
    <x v="0"/>
  </r>
  <r>
    <s v="108829"/>
    <s v="10024001"/>
    <s v="Other Assets covered NIDP"/>
    <s v="0100000020"/>
    <x v="4"/>
    <s v="CATCH 6 PACK CORD 1MTR &amp; CAT 6 PATCH CORD 1 MTR"/>
    <d v="2024-04-04T00:00:00"/>
    <d v="2024-04-04T00:00:00"/>
    <d v="2024-04-04T00:00:00"/>
    <n v="82"/>
    <s v="NOS"/>
    <n v="16236"/>
    <n v="-765.19"/>
    <n v="15470.81"/>
    <x v="0"/>
  </r>
  <r>
    <s v="108830"/>
    <s v="10024001"/>
    <s v="Other Assets covered NIDP"/>
    <s v="0100000020"/>
    <x v="4"/>
    <s v="LIU 24 PORTS LC &amp; LIU 24 PORTS LC"/>
    <d v="2024-04-04T00:00:00"/>
    <d v="2024-04-04T00:00:00"/>
    <d v="2024-04-04T00:00:00"/>
    <n v="1"/>
    <s v="NOS"/>
    <n v="9900"/>
    <n v="-466.58"/>
    <n v="9433.42"/>
    <x v="0"/>
  </r>
  <r>
    <s v="108831"/>
    <s v="10024001"/>
    <s v="Other Assets covered NIDP"/>
    <s v="0100000020"/>
    <x v="4"/>
    <s v="PIGTAIL CABLE LC TO LC &amp; PIGTAIL CABLE LC TO LC"/>
    <d v="2024-04-04T00:00:00"/>
    <d v="2024-04-04T00:00:00"/>
    <d v="2024-04-04T00:00:00"/>
    <n v="40"/>
    <s v="NOS"/>
    <n v="18480"/>
    <n v="-870.95"/>
    <n v="17609.05"/>
    <x v="0"/>
  </r>
  <r>
    <s v="108832"/>
    <s v="10024001"/>
    <s v="Other Assets covered NIDP"/>
    <s v="0100000020"/>
    <x v="4"/>
    <s v="1 MTR LC TO LC SINGLE MODE PATCH CORD"/>
    <d v="2024-04-04T00:00:00"/>
    <d v="2024-04-04T00:00:00"/>
    <d v="2024-04-04T00:00:00"/>
    <n v="10"/>
    <s v="NOS"/>
    <n v="10430"/>
    <n v="-491.56"/>
    <n v="9938.44"/>
    <x v="0"/>
  </r>
  <r>
    <s v="108833"/>
    <s v="10024001"/>
    <s v="Other Assets covered NIDP"/>
    <s v="0100000020"/>
    <x v="4"/>
    <s v="LABELS"/>
    <d v="2024-04-04T00:00:00"/>
    <d v="2024-04-04T00:00:00"/>
    <d v="2024-04-04T00:00:00"/>
    <n v="1"/>
    <s v="NOS"/>
    <n v="22138"/>
    <n v="-1043.3499999999999"/>
    <n v="21094.65"/>
    <x v="0"/>
  </r>
  <r>
    <s v="108834"/>
    <s v="10024001"/>
    <s v="Other Assets covered NIDP"/>
    <s v="0100000020"/>
    <x v="4"/>
    <s v="FLEXIBLE LSZH CAT 6 CABLE &amp; FLEXIBLE LSZH"/>
    <d v="2024-04-04T00:00:00"/>
    <d v="2024-04-04T00:00:00"/>
    <d v="2024-04-04T00:00:00"/>
    <n v="610"/>
    <s v="M"/>
    <n v="18910"/>
    <n v="-891.22"/>
    <n v="18018.78"/>
    <x v="0"/>
  </r>
  <r>
    <s v="108835"/>
    <s v="10024001"/>
    <s v="Other Assets covered NIDP"/>
    <s v="0100000020"/>
    <x v="4"/>
    <s v="BOX WITH FACEPLATE ALONG WITH JUNCTION BOX"/>
    <d v="2024-04-04T00:00:00"/>
    <d v="2024-04-04T00:00:00"/>
    <d v="2024-04-04T00:00:00"/>
    <n v="80"/>
    <s v="NOS"/>
    <n v="48080"/>
    <n v="-2265.98"/>
    <n v="45814.02"/>
    <x v="0"/>
  </r>
  <r>
    <s v="108836"/>
    <s v="10024001"/>
    <s v="Other Assets covered NIDP"/>
    <s v="0100000020"/>
    <x v="4"/>
    <s v="AFL - SINGLE MODE OUTDOOR CORE FIBER OPTIC"/>
    <d v="2024-04-04T00:00:00"/>
    <d v="2024-04-04T00:00:00"/>
    <d v="2024-04-04T00:00:00"/>
    <n v="800"/>
    <s v="M"/>
    <n v="72240"/>
    <n v="-3404.63"/>
    <n v="68835.37"/>
    <x v="0"/>
  </r>
  <r>
    <s v="108837"/>
    <s v="10024001"/>
    <s v="Other Assets covered NIDP"/>
    <s v="0100000020"/>
    <x v="4"/>
    <s v="HID RP 10 MULTI CLASS READER"/>
    <d v="2024-04-04T00:00:00"/>
    <d v="2024-04-04T00:00:00"/>
    <d v="2024-04-04T00:00:00"/>
    <n v="10"/>
    <s v="NOS"/>
    <n v="107000"/>
    <n v="-5042.8500000000004"/>
    <n v="101957.15"/>
    <x v="0"/>
  </r>
  <r>
    <s v="108838"/>
    <s v="10024001"/>
    <s v="Other Assets covered NIDP"/>
    <s v="0100000020"/>
    <x v="4"/>
    <s v="1200 LB DOUBLE LEAF DOOR LOCK"/>
    <d v="2024-04-04T00:00:00"/>
    <d v="2024-04-04T00:00:00"/>
    <d v="2024-04-04T00:00:00"/>
    <n v="8"/>
    <s v="NOS"/>
    <n v="117600"/>
    <n v="-5542.42"/>
    <n v="112057.58"/>
    <x v="0"/>
  </r>
  <r>
    <s v="108839"/>
    <s v="10024001"/>
    <s v="Other Assets covered NIDP"/>
    <s v="0100000020"/>
    <x v="4"/>
    <s v="Single leaf door lock"/>
    <d v="2024-04-04T00:00:00"/>
    <d v="2024-04-04T00:00:00"/>
    <d v="2024-04-04T00:00:00"/>
    <n v="1"/>
    <s v="NOS"/>
    <n v="3900"/>
    <n v="-183.8"/>
    <n v="3716.2"/>
    <x v="0"/>
  </r>
  <r>
    <s v="108840"/>
    <s v="10024001"/>
    <s v="Other Assets covered NIDP"/>
    <s v="0100000020"/>
    <x v="4"/>
    <s v="Egress Switch &amp; Egress Switch"/>
    <d v="2024-04-04T00:00:00"/>
    <d v="2024-04-04T00:00:00"/>
    <d v="2024-04-04T00:00:00"/>
    <n v="10"/>
    <s v="NOS"/>
    <n v="10150"/>
    <n v="-478.36"/>
    <n v="9671.64"/>
    <x v="0"/>
  </r>
  <r>
    <s v="108841"/>
    <s v="10024001"/>
    <s v="Other Assets covered NIDP"/>
    <s v="0100000020"/>
    <x v="4"/>
    <s v="Two reader controller &amp; Two reader controller"/>
    <d v="2024-04-04T00:00:00"/>
    <d v="2024-04-04T00:00:00"/>
    <d v="2024-04-04T00:00:00"/>
    <n v="1"/>
    <s v="NOS"/>
    <n v="146400"/>
    <n v="-6899.75"/>
    <n v="139500.25"/>
    <x v="0"/>
  </r>
  <r>
    <s v="108842"/>
    <s v="10024001"/>
    <s v="Other Assets covered NIDP"/>
    <s v="0100000020"/>
    <x v="4"/>
    <s v="Eight door reader controller"/>
    <d v="2024-04-04T00:00:00"/>
    <d v="2024-04-04T00:00:00"/>
    <d v="2024-04-04T00:00:00"/>
    <n v="1"/>
    <s v="NOS"/>
    <n v="345000"/>
    <n v="-16259.65"/>
    <n v="328740.34999999998"/>
    <x v="0"/>
  </r>
  <r>
    <s v="108843"/>
    <s v="10024001"/>
    <s v="Other Assets covered NIDP"/>
    <s v="0100000020"/>
    <x v="4"/>
    <s v="Copper flexible cable"/>
    <d v="2024-04-04T00:00:00"/>
    <d v="2024-04-04T00:00:00"/>
    <d v="2024-04-04T00:00:00"/>
    <n v="400"/>
    <s v="M"/>
    <n v="51600"/>
    <n v="-2431.88"/>
    <n v="49168.12"/>
    <x v="0"/>
  </r>
  <r>
    <s v="108844"/>
    <s v="10024001"/>
    <s v="Other Assets covered NIDP"/>
    <s v="0100000020"/>
    <x v="4"/>
    <s v="Copper flexible cable"/>
    <d v="2024-04-04T00:00:00"/>
    <d v="2024-04-04T00:00:00"/>
    <d v="2024-04-04T00:00:00"/>
    <n v="700"/>
    <s v="M"/>
    <n v="49700"/>
    <n v="-2342.33"/>
    <n v="47357.67"/>
    <x v="0"/>
  </r>
  <r>
    <s v="108845"/>
    <s v="10024001"/>
    <s v="Other Assets covered NIDP"/>
    <s v="0100000020"/>
    <x v="4"/>
    <s v="BOX WITH FACEPLATE ALONG WITH JUNCTION BOX"/>
    <d v="2024-04-04T00:00:00"/>
    <d v="2024-04-04T00:00:00"/>
    <d v="2024-04-04T00:00:00"/>
    <n v="4"/>
    <s v="NOS"/>
    <n v="2404"/>
    <n v="-113.3"/>
    <n v="2290.6999999999998"/>
    <x v="0"/>
  </r>
  <r>
    <s v="108846"/>
    <s v="10031001"/>
    <s v="Meters - NIDP"/>
    <s v="0100000026"/>
    <x v="5"/>
    <s v="Multi Function Meter Type Swift Supply of ABT Comp"/>
    <d v="2024-04-04T00:00:00"/>
    <d v="2024-04-04T00:00:00"/>
    <d v="2024-04-04T00:00:00"/>
    <n v="1"/>
    <s v="NOS"/>
    <n v="800886.44"/>
    <n v="-37745.32"/>
    <n v="763141.12"/>
    <x v="0"/>
  </r>
  <r>
    <s v="108881"/>
    <s v="10029001"/>
    <s v="Air Static conditioning NIDP"/>
    <s v="0100000025"/>
    <x v="8"/>
    <s v="SITC of HVAC Work Substation-2 -NIDP"/>
    <d v="2024-04-04T00:00:00"/>
    <d v="2024-04-04T00:00:00"/>
    <d v="2024-04-04T00:00:00"/>
    <n v="1.5"/>
    <s v="EA"/>
    <n v="977454"/>
    <n v="-46066.84"/>
    <n v="931387.16"/>
    <x v="0"/>
  </r>
  <r>
    <s v="108882"/>
    <s v="10029001"/>
    <s v="Air Static conditioning NIDP"/>
    <s v="0100000025"/>
    <x v="8"/>
    <s v="SITC of HVAC Work Substation-2 -NIDP"/>
    <d v="2024-04-04T00:00:00"/>
    <d v="2024-04-04T00:00:00"/>
    <d v="2024-04-04T00:00:00"/>
    <n v="2"/>
    <s v="EA"/>
    <n v="73310"/>
    <n v="-3455.06"/>
    <n v="69854.94"/>
    <x v="0"/>
  </r>
  <r>
    <s v="108883"/>
    <s v="10029001"/>
    <s v="Air Static conditioning NIDP"/>
    <s v="0100000025"/>
    <x v="8"/>
    <s v="SITC of HVAC Work Substation-2 -NIDP"/>
    <d v="2024-04-04T00:00:00"/>
    <d v="2024-04-04T00:00:00"/>
    <d v="2024-04-04T00:00:00"/>
    <n v="12"/>
    <s v="EA"/>
    <n v="695064"/>
    <n v="-32757.97"/>
    <n v="662306.03"/>
    <x v="0"/>
  </r>
  <r>
    <s v="108884"/>
    <s v="10029001"/>
    <s v="Air Static conditioning NIDP"/>
    <s v="0100000025"/>
    <x v="8"/>
    <s v="SITC of HVAC Work Substation-2 -NIDP"/>
    <d v="2024-04-04T00:00:00"/>
    <d v="2024-04-04T00:00:00"/>
    <d v="2024-04-04T00:00:00"/>
    <n v="11"/>
    <s v="EA"/>
    <n v="91003"/>
    <n v="-4288.92"/>
    <n v="86714.08"/>
    <x v="0"/>
  </r>
  <r>
    <s v="108885"/>
    <s v="10029001"/>
    <s v="Air Static conditioning NIDP"/>
    <s v="0100000025"/>
    <x v="8"/>
    <s v="SITC of HVAC Work Substation-2 -NIDP"/>
    <d v="2024-04-04T00:00:00"/>
    <d v="2024-04-04T00:00:00"/>
    <d v="2024-04-04T00:00:00"/>
    <n v="500"/>
    <s v="M2"/>
    <n v="351500"/>
    <n v="-16565.990000000002"/>
    <n v="334934.01"/>
    <x v="0"/>
  </r>
  <r>
    <s v="108891"/>
    <s v="10037001"/>
    <s v="Transformers (Others) NIDP"/>
    <s v="0100000032"/>
    <x v="0"/>
    <s v="Inst of potential transformer for line protection Line bay"/>
    <d v="2024-04-04T00:00:00"/>
    <d v="2024-04-04T00:00:00"/>
    <d v="2024-04-04T00:00:00"/>
    <n v="6"/>
    <s v="EA"/>
    <n v="75786"/>
    <n v="-3571.75"/>
    <n v="72214.25"/>
    <x v="0"/>
  </r>
  <r>
    <s v="108892"/>
    <s v="10037001"/>
    <s v="Transformers (Others) NIDP"/>
    <s v="0100000032"/>
    <x v="0"/>
    <s v="Inst of Current transformer for line protection Line Bay"/>
    <d v="2024-04-04T00:00:00"/>
    <d v="2024-04-04T00:00:00"/>
    <d v="2024-04-04T00:00:00"/>
    <n v="6"/>
    <s v="EA"/>
    <n v="75786"/>
    <n v="-3571.75"/>
    <n v="72214.25"/>
    <x v="0"/>
  </r>
  <r>
    <s v="108893"/>
    <s v="10037001"/>
    <s v="Transformers (Others) NIDP"/>
    <s v="0100000032"/>
    <x v="0"/>
    <s v="Inst of potential transformer for line protection Buscoupler Bay"/>
    <d v="2024-04-04T00:00:00"/>
    <d v="2024-04-04T00:00:00"/>
    <d v="2024-04-04T00:00:00"/>
    <n v="6"/>
    <s v="EA"/>
    <n v="75786"/>
    <n v="-3571.75"/>
    <n v="72214.25"/>
    <x v="0"/>
  </r>
  <r>
    <s v="108894"/>
    <s v="10037001"/>
    <s v="Transformers (Others) NIDP"/>
    <s v="0100000032"/>
    <x v="0"/>
    <s v="Inst of potential transformer for line protection"/>
    <d v="2024-04-04T00:00:00"/>
    <d v="2024-04-04T00:00:00"/>
    <d v="2024-04-04T00:00:00"/>
    <n v="6"/>
    <s v="EA"/>
    <n v="75786"/>
    <n v="-3571.75"/>
    <n v="72214.25"/>
    <x v="1"/>
  </r>
  <r>
    <s v="108895"/>
    <s v="10037001"/>
    <s v="Transformers (Others) NIDP"/>
    <s v="0100000032"/>
    <x v="0"/>
    <s v="Inst of potential transformer for line protection"/>
    <d v="2024-04-04T00:00:00"/>
    <d v="2024-04-04T00:00:00"/>
    <d v="2024-04-04T00:00:00"/>
    <n v="6"/>
    <s v="EA"/>
    <n v="75786"/>
    <n v="-3571.75"/>
    <n v="72214.25"/>
    <x v="1"/>
  </r>
  <r>
    <s v="108896"/>
    <s v="10027001"/>
    <s v="Lightning arrestors NIDP"/>
    <s v="0100000023"/>
    <x v="2"/>
    <s v="Inst of 10kA, 198KV, lightening arrestor with insu"/>
    <d v="2024-04-04T00:00:00"/>
    <d v="2024-04-04T00:00:00"/>
    <d v="2024-04-04T00:00:00"/>
    <n v="3"/>
    <s v="EA"/>
    <n v="25263"/>
    <n v="-1190.6299999999999"/>
    <n v="24072.370000000003"/>
    <x v="0"/>
  </r>
  <r>
    <s v="108896a"/>
    <m/>
    <m/>
    <m/>
    <x v="2"/>
    <s v="Inst of 10kA, 198KV, lightening arrestor with insu"/>
    <d v="2024-04-04T00:00:00"/>
    <m/>
    <m/>
    <n v="3"/>
    <s v="EA"/>
    <n v="25263"/>
    <n v="-1190.6299999999999"/>
    <n v="24072.370000000003"/>
    <x v="1"/>
  </r>
  <r>
    <s v="108896b"/>
    <m/>
    <m/>
    <m/>
    <x v="2"/>
    <s v="Inst of 10kA, 198KV, lightening arrestor with insu"/>
    <d v="2024-04-04T00:00:00"/>
    <m/>
    <m/>
    <n v="15"/>
    <s v="EA"/>
    <n v="126315"/>
    <n v="-5953.15"/>
    <n v="120361.85"/>
    <x v="1"/>
  </r>
  <r>
    <s v="108907"/>
    <s v="10024001"/>
    <s v="Other Assets covered NIDP"/>
    <s v="0100000020"/>
    <x v="4"/>
    <s v="Inst of earthing of complete switchyard"/>
    <d v="2024-04-04T00:00:00"/>
    <d v="2024-04-04T00:00:00"/>
    <d v="2024-04-04T00:00:00"/>
    <n v="1"/>
    <s v="EA"/>
    <n v="765720"/>
    <n v="-36087.94"/>
    <n v="729632.06"/>
    <x v="0"/>
  </r>
  <r>
    <s v="108908"/>
    <s v="10027001"/>
    <s v="Lightning arrestors NIDP"/>
    <s v="0100000023"/>
    <x v="2"/>
    <s v="Inst of lightening protection system for switchyard and only control room building"/>
    <d v="2024-04-04T00:00:00"/>
    <d v="2024-04-04T00:00:00"/>
    <d v="2024-04-04T00:00:00"/>
    <n v="1"/>
    <s v="EA"/>
    <n v="15800"/>
    <n v="-744.64"/>
    <n v="15055.36"/>
    <x v="1"/>
  </r>
  <r>
    <s v="108913"/>
    <s v="10028001"/>
    <s v="Communication equipment NIDP"/>
    <s v="0100000024"/>
    <x v="6"/>
    <s v="Inst of SCADA for Control &amp; Monitoring of switchya"/>
    <d v="2024-04-04T00:00:00"/>
    <d v="2024-04-04T00:00:00"/>
    <d v="2024-04-04T00:00:00"/>
    <n v="1"/>
    <s v="EA"/>
    <n v="50500"/>
    <n v="-2853.34"/>
    <n v="47646.66"/>
    <x v="0"/>
  </r>
  <r>
    <s v="108916"/>
    <s v="10026001"/>
    <s v="Fittings and apparatus NIDP"/>
    <s v="0100000022"/>
    <x v="3"/>
    <s v="Inst of internal illumination for only control &amp; r"/>
    <d v="2024-04-04T00:00:00"/>
    <d v="2024-04-04T00:00:00"/>
    <d v="2024-04-04T00:00:00"/>
    <n v="1"/>
    <s v="EA"/>
    <n v="30000"/>
    <n v="-1695.05"/>
    <n v="28304.95"/>
    <x v="0"/>
  </r>
  <r>
    <s v="108917"/>
    <s v="10029001"/>
    <s v="Air Static conditioning NIDP"/>
    <s v="0100000025"/>
    <x v="8"/>
    <s v="Inst of 10 Nos., 2 tons,3 star air conditioners"/>
    <d v="2024-04-04T00:00:00"/>
    <d v="2024-04-04T00:00:00"/>
    <d v="2024-04-04T00:00:00"/>
    <n v="1"/>
    <s v="EA"/>
    <n v="38400"/>
    <n v="-1809.77"/>
    <n v="36590.230000000003"/>
    <x v="0"/>
  </r>
  <r>
    <s v="108918"/>
    <s v="10024001"/>
    <s v="Other Assets covered NIDP"/>
    <s v="0100000020"/>
    <x v="4"/>
    <s v="Inst of fire alarm system"/>
    <d v="2024-04-04T00:00:00"/>
    <d v="2024-04-04T00:00:00"/>
    <d v="2024-04-04T00:00:00"/>
    <n v="1"/>
    <s v="EA"/>
    <n v="31600"/>
    <n v="-1489.29"/>
    <n v="30110.71"/>
    <x v="0"/>
  </r>
  <r>
    <s v="108923"/>
    <s v="10021001"/>
    <s v="Transformers (including foundations) NIDP"/>
    <s v="0100000017"/>
    <x v="1"/>
    <s v="Inst of 220/ 11kv power transformer"/>
    <d v="2024-04-04T00:00:00"/>
    <d v="2024-04-04T00:00:00"/>
    <d v="2024-04-04T00:00:00"/>
    <n v="2"/>
    <s v="EA"/>
    <n v="1894738"/>
    <n v="-89297.91333333333"/>
    <n v="1805440.0866666667"/>
    <x v="0"/>
  </r>
  <r>
    <s v="108923a"/>
    <m/>
    <m/>
    <m/>
    <x v="1"/>
    <s v="Inst of 220/ 11kv power transformer"/>
    <d v="2024-04-04T00:00:00"/>
    <m/>
    <m/>
    <n v="1"/>
    <s v="EA"/>
    <n v="947369"/>
    <n v="-44648.956666666665"/>
    <n v="902720.04333333333"/>
    <x v="1"/>
  </r>
  <r>
    <s v="108924"/>
    <s v="10021001"/>
    <s v="Transformers (including foundations) NIDP"/>
    <s v="0100000017"/>
    <x v="1"/>
    <s v="Inst of fire suppression system for power transfor"/>
    <d v="2024-04-04T00:00:00"/>
    <d v="2024-04-04T00:00:00"/>
    <d v="2024-04-04T00:00:00"/>
    <n v="2"/>
    <s v="EA"/>
    <n v="136842"/>
    <n v="-6449.2866666666669"/>
    <n v="130392.71333333333"/>
    <x v="0"/>
  </r>
  <r>
    <s v="108924a"/>
    <m/>
    <m/>
    <m/>
    <x v="1"/>
    <s v="Inst of fire suppression system for power transfor"/>
    <d v="2024-04-04T00:00:00"/>
    <m/>
    <m/>
    <n v="1"/>
    <s v="EA"/>
    <n v="68421"/>
    <n v="-3224.6433333333334"/>
    <n v="65196.356666666667"/>
    <x v="1"/>
  </r>
  <r>
    <s v="108928"/>
    <s v="10024001"/>
    <s v="Other Assets covered NIDP"/>
    <s v="0100000020"/>
    <x v="4"/>
    <s v="Inst of Earthing of complete switchyard"/>
    <d v="2024-04-04T00:00:00"/>
    <d v="2024-04-04T00:00:00"/>
    <d v="2024-04-04T00:00:00"/>
    <n v="1"/>
    <s v="EA"/>
    <n v="510480"/>
    <n v="-24058.63"/>
    <n v="486421.37"/>
    <x v="1"/>
  </r>
  <r>
    <s v="108929"/>
    <s v="10027001"/>
    <s v="Lightning arrestors NIDP"/>
    <s v="0100000023"/>
    <x v="2"/>
    <s v="Inst of LED light fixtures for LCLM"/>
    <d v="2024-04-04T00:00:00"/>
    <d v="2024-04-04T00:00:00"/>
    <d v="2024-04-04T00:00:00"/>
    <n v="1"/>
    <s v="EA"/>
    <n v="25000"/>
    <n v="-1178.24"/>
    <n v="23821.759999999998"/>
    <x v="0"/>
  </r>
  <r>
    <s v="108930"/>
    <s v="10024001"/>
    <s v="Other Assets covered NIDP"/>
    <s v="0100000020"/>
    <x v="4"/>
    <s v="Inst of complete fire &amp; safety equipments for swit"/>
    <d v="2024-04-04T00:00:00"/>
    <d v="2024-04-04T00:00:00"/>
    <d v="2024-04-04T00:00:00"/>
    <n v="1"/>
    <s v="EA"/>
    <n v="10500"/>
    <n v="-494.86"/>
    <n v="10005.14"/>
    <x v="0"/>
  </r>
  <r>
    <s v="108932"/>
    <s v="10027001"/>
    <s v="Lightning arrestors NIDP"/>
    <s v="0100000023"/>
    <x v="2"/>
    <s v="Inst of 10kA, 198 KV LIGHTENING ARRESTOR WITH INSU"/>
    <d v="2024-04-04T00:00:00"/>
    <d v="2024-04-04T00:00:00"/>
    <d v="2024-04-04T00:00:00"/>
    <n v="2"/>
    <s v="EA"/>
    <n v="25262"/>
    <n v="-1190.58"/>
    <n v="24071.42"/>
    <x v="0"/>
  </r>
  <r>
    <s v="108933"/>
    <s v="10027001"/>
    <s v="Lightning arrestors NIDP"/>
    <s v="0100000023"/>
    <x v="2"/>
    <s v="Inst of 10kA, 198 KV LIGHTENING ARRESTOR WITH INSU"/>
    <d v="2024-04-04T00:00:00"/>
    <d v="2024-04-04T00:00:00"/>
    <d v="2024-04-04T00:00:00"/>
    <n v="2"/>
    <s v="EA"/>
    <n v="25262"/>
    <n v="-1190.58"/>
    <n v="24071.42"/>
    <x v="0"/>
  </r>
  <r>
    <s v="108934"/>
    <s v="10031001"/>
    <s v="Meters - NIDP"/>
    <s v="0100000026"/>
    <x v="5"/>
    <s v="Inst of ABT Compliant Energy Meter (Main &amp; Check)"/>
    <d v="2024-04-04T00:00:00"/>
    <d v="2024-04-04T00:00:00"/>
    <d v="2024-04-04T00:00:00"/>
    <n v="2"/>
    <s v="EA"/>
    <n v="26096"/>
    <n v="-1229.8900000000001"/>
    <n v="24866.11"/>
    <x v="0"/>
  </r>
  <r>
    <s v="108935"/>
    <s v="10027001"/>
    <s v="Lightning arrestors NIDP"/>
    <s v="0100000023"/>
    <x v="2"/>
    <s v="Inst of 10kA, 198 KV LIGHTENING ARRESTOR WITH INSU"/>
    <d v="2024-04-04T00:00:00"/>
    <d v="2024-04-04T00:00:00"/>
    <d v="2024-04-04T00:00:00"/>
    <n v="3"/>
    <s v="EA"/>
    <n v="25263"/>
    <n v="-1190.6300000000001"/>
    <n v="24072.37"/>
    <x v="0"/>
  </r>
  <r>
    <s v="108936"/>
    <s v="10031001"/>
    <s v="Meters - NIDP"/>
    <s v="0100000026"/>
    <x v="5"/>
    <s v="Inst of 220 KV, 40 KA for 3 sec for traffic meteri (pole operated single phase SF6 Circuit Breaker)"/>
    <d v="2024-04-04T00:00:00"/>
    <d v="2024-04-04T00:00:00"/>
    <d v="2024-04-04T00:00:00"/>
    <n v="2"/>
    <s v="EA"/>
    <n v="25262"/>
    <n v="-1190.5825"/>
    <n v="24071.4175"/>
    <x v="0"/>
  </r>
  <r>
    <s v="108936a"/>
    <m/>
    <m/>
    <m/>
    <x v="5"/>
    <s v="Inst of 220 KV, 40 KA for 3 sec for traffic meteri (pole operated single phase SF6 Circuit Breaker)"/>
    <d v="2024-04-04T00:00:00"/>
    <m/>
    <m/>
    <n v="1"/>
    <s v="EA"/>
    <n v="12631"/>
    <n v="-595.29124999999999"/>
    <n v="12035.70875"/>
    <x v="1"/>
  </r>
  <r>
    <s v="108936b"/>
    <m/>
    <m/>
    <m/>
    <x v="5"/>
    <s v="Inst of 220 KV, 40 KA for 3 sec for traffic meteri (pole operated single phase SF6 Circuit Breaker)"/>
    <d v="2024-04-04T00:00:00"/>
    <m/>
    <m/>
    <n v="5"/>
    <s v="EA"/>
    <n v="63155"/>
    <n v="-2976.4562500000002"/>
    <n v="60178.543749999997"/>
    <x v="1"/>
  </r>
  <r>
    <s v="108937"/>
    <s v="10037001"/>
    <s v="Transformers (Others) NIDP"/>
    <s v="0100000032"/>
    <x v="0"/>
    <s v="Inst of 220KV, 40kA for 3 sec, Current Transforme (Bus Coupler Bay)"/>
    <d v="2024-04-04T00:00:00"/>
    <d v="2024-04-04T00:00:00"/>
    <d v="2024-04-04T00:00:00"/>
    <n v="3"/>
    <s v="EA"/>
    <n v="37893"/>
    <n v="-1785.88"/>
    <n v="36107.120000000003"/>
    <x v="0"/>
  </r>
  <r>
    <s v="108938"/>
    <s v="10021001"/>
    <s v="Transformers (including foundations) NIDP"/>
    <s v="0100000017"/>
    <x v="1"/>
    <s v="RCC foundation for 220KV isolators RCC foundation (in Transformer Bay)"/>
    <d v="2024-04-04T00:00:00"/>
    <d v="2024-04-04T00:00:00"/>
    <d v="2024-04-04T00:00:00"/>
    <n v="2"/>
    <s v="EA"/>
    <n v="250000"/>
    <n v="-11782.355"/>
    <n v="238217.64499999999"/>
    <x v="0"/>
  </r>
  <r>
    <s v="108938a"/>
    <m/>
    <m/>
    <m/>
    <x v="1"/>
    <s v="RCC foundation for 220KV isolators RCC foundation (in Transformer Bay)"/>
    <d v="2024-04-04T00:00:00"/>
    <m/>
    <m/>
    <n v="1"/>
    <s v="EA"/>
    <n v="125000"/>
    <n v="-5891.1774999999998"/>
    <n v="119108.82249999999"/>
    <x v="1"/>
  </r>
  <r>
    <s v="108938b"/>
    <m/>
    <m/>
    <m/>
    <x v="1"/>
    <s v="RCC foundation for 220KV isolators RCC foundation (in Transformer Bay)"/>
    <d v="2024-04-04T00:00:00"/>
    <m/>
    <m/>
    <n v="5"/>
    <s v="EA"/>
    <n v="625000"/>
    <n v="-29455.887499999997"/>
    <n v="595544.11249999993"/>
    <x v="1"/>
  </r>
  <r>
    <s v="108939"/>
    <s v="10021001"/>
    <s v="Transformers (including foundations) NIDP"/>
    <s v="0100000017"/>
    <x v="1"/>
    <s v="RCC Foundation for 220kV Lightning Arrestors"/>
    <d v="2024-04-04T00:00:00"/>
    <d v="2024-04-04T00:00:00"/>
    <d v="2024-04-04T00:00:00"/>
    <n v="6"/>
    <s v="EA"/>
    <n v="588000"/>
    <n v="-27712.102499999997"/>
    <n v="560287.89749999996"/>
    <x v="0"/>
  </r>
  <r>
    <s v="108939a"/>
    <m/>
    <m/>
    <m/>
    <x v="1"/>
    <s v="RCC Foundation for 220kV Lightning Arrestors"/>
    <d v="2024-04-04T00:00:00"/>
    <m/>
    <m/>
    <n v="3"/>
    <s v="EA"/>
    <n v="294000"/>
    <n v="-13856.051249999999"/>
    <n v="280143.94874999998"/>
    <x v="1"/>
  </r>
  <r>
    <s v="108939b"/>
    <m/>
    <m/>
    <m/>
    <x v="1"/>
    <s v="RCC Foundation for 220kV Lightning Arrestors"/>
    <d v="2024-04-04T00:00:00"/>
    <m/>
    <m/>
    <n v="15"/>
    <s v="EA"/>
    <n v="1470000"/>
    <n v="-69280.256250000006"/>
    <n v="1400719.7437499997"/>
    <x v="1"/>
  </r>
  <r>
    <s v="108940"/>
    <s v="10021001"/>
    <s v="Transformers (including foundations) NIDP"/>
    <s v="0100000017"/>
    <x v="1"/>
    <s v="RCC Foundation for 220kV Potential transfromers/CVT"/>
    <d v="2024-04-04T00:00:00"/>
    <d v="2024-04-04T00:00:00"/>
    <d v="2024-04-04T00:00:00"/>
    <n v="12"/>
    <s v="EA"/>
    <n v="1176000"/>
    <n v="-55424.2"/>
    <n v="1120575.8"/>
    <x v="0"/>
  </r>
  <r>
    <s v="108941"/>
    <s v="10021001"/>
    <s v="Transformers (including foundations) NIDP"/>
    <s v="0100000017"/>
    <x v="1"/>
    <s v="RCC Foundation for 220kV Current Transformer"/>
    <d v="2024-04-04T00:00:00"/>
    <d v="2024-04-04T00:00:00"/>
    <d v="2024-04-04T00:00:00"/>
    <n v="20"/>
    <s v="EA"/>
    <n v="1960000"/>
    <n v="-92373.67333333334"/>
    <n v="1867626.3266666669"/>
    <x v="0"/>
  </r>
  <r>
    <s v="108941a"/>
    <m/>
    <m/>
    <m/>
    <x v="1"/>
    <s v="RCC Foundation for 220kV Current Transformer"/>
    <d v="2024-04-04T00:00:00"/>
    <m/>
    <m/>
    <n v="10"/>
    <s v="EA"/>
    <n v="980000"/>
    <n v="-46186.83666666667"/>
    <n v="933813.16333333345"/>
    <x v="1"/>
  </r>
  <r>
    <s v="108942"/>
    <s v="10021001"/>
    <s v="Transformers (including foundations) NIDP"/>
    <s v="0100000017"/>
    <x v="1"/>
    <s v="RCC Foundation for 220kV Circuit Breaker"/>
    <d v="2024-04-04T00:00:00"/>
    <d v="2024-04-04T00:00:00"/>
    <d v="2024-04-04T00:00:00"/>
    <n v="3"/>
    <s v="EA"/>
    <n v="375000"/>
    <n v="-17673.53"/>
    <n v="357326.47"/>
    <x v="0"/>
  </r>
  <r>
    <s v="108943"/>
    <s v="10021001"/>
    <s v="Transformers (including foundations) NIDP"/>
    <s v="0100000017"/>
    <x v="1"/>
    <s v="RCC Foundation for 220kV Isolators RCC Foundation"/>
    <d v="2024-04-04T00:00:00"/>
    <d v="2024-04-04T00:00:00"/>
    <d v="2024-04-04T00:00:00"/>
    <n v="9"/>
    <s v="EA"/>
    <n v="1125000"/>
    <n v="-53020.6"/>
    <n v="1071979.3999999999"/>
    <x v="0"/>
  </r>
  <r>
    <s v="108944"/>
    <s v="10021001"/>
    <s v="Transformers (including foundations) NIDP"/>
    <s v="0100000017"/>
    <x v="1"/>
    <s v="RCC Foundation for 220kV Lightning Arrestors"/>
    <d v="2024-04-04T00:00:00"/>
    <d v="2024-04-04T00:00:00"/>
    <d v="2024-04-04T00:00:00"/>
    <n v="3"/>
    <s v="EA"/>
    <n v="294000"/>
    <n v="-13856.05"/>
    <n v="280143.95"/>
    <x v="0"/>
  </r>
  <r>
    <s v="108945"/>
    <s v="10021001"/>
    <s v="Transformers (including foundations) NIDP"/>
    <s v="0100000017"/>
    <x v="1"/>
    <s v="RCC Foundation for 220kV Potential transformer/CVT"/>
    <d v="2024-04-04T00:00:00"/>
    <d v="2024-04-04T00:00:00"/>
    <d v="2024-04-04T00:00:00"/>
    <n v="6"/>
    <s v="EA"/>
    <n v="588000"/>
    <n v="-27712.1"/>
    <n v="560287.9"/>
    <x v="0"/>
  </r>
  <r>
    <s v="108946"/>
    <s v="10021001"/>
    <s v="Transformers (including foundations) NIDP"/>
    <s v="0100000017"/>
    <x v="1"/>
    <s v="RCC Foundation for 220kV Current Transformer"/>
    <d v="2024-04-04T00:00:00"/>
    <d v="2024-04-04T00:00:00"/>
    <d v="2024-04-04T00:00:00"/>
    <n v="3"/>
    <s v="EA"/>
    <n v="294000"/>
    <n v="-13856.05"/>
    <n v="280143.95"/>
    <x v="0"/>
  </r>
  <r>
    <s v="108947"/>
    <s v="10021001"/>
    <s v="Transformers (including foundations) NIDP"/>
    <s v="0100000017"/>
    <x v="1"/>
    <s v="RCC Foundation for 220kV tower"/>
    <d v="2024-04-04T00:00:00"/>
    <d v="2024-04-04T00:00:00"/>
    <d v="2024-04-04T00:00:00"/>
    <n v="0.25"/>
    <s v="EA"/>
    <n v="1450000"/>
    <n v="-68337.67"/>
    <n v="1381662.33"/>
    <x v="0"/>
  </r>
  <r>
    <s v="108948"/>
    <s v="10021001"/>
    <s v="Transformers (including foundations) NIDP"/>
    <s v="0100000017"/>
    <x v="1"/>
    <s v="RCC Foundation for 220kV Circuit Breaker"/>
    <d v="2024-04-04T00:00:00"/>
    <d v="2024-04-04T00:00:00"/>
    <d v="2024-04-04T00:00:00"/>
    <n v="5"/>
    <s v="EA"/>
    <n v="625000"/>
    <n v="-29455.89"/>
    <n v="595544.11"/>
    <x v="1"/>
  </r>
  <r>
    <s v="108949"/>
    <s v="10021001"/>
    <s v="Transformers (including foundations) NIDP"/>
    <s v="0100000017"/>
    <x v="1"/>
    <s v="RCC foundation for 220KV isolators RCC foundation"/>
    <d v="2024-04-04T00:00:00"/>
    <d v="2024-04-04T00:00:00"/>
    <d v="2024-04-04T00:00:00"/>
    <n v="12"/>
    <s v="EA"/>
    <n v="1500000"/>
    <n v="-70694.14"/>
    <n v="1429305.86"/>
    <x v="1"/>
  </r>
  <r>
    <s v="108950"/>
    <s v="10021001"/>
    <s v="Transformers (including foundations) NIDP"/>
    <s v="0100000017"/>
    <x v="1"/>
    <s v="RCC Foundation for 220kV BPI"/>
    <d v="2024-04-04T00:00:00"/>
    <d v="2024-04-04T00:00:00"/>
    <d v="2024-04-04T00:00:00"/>
    <n v="1"/>
    <s v="EA"/>
    <n v="869318.18181818177"/>
    <n v="-40970.463636363638"/>
    <n v="828347.71818181826"/>
    <x v="0"/>
  </r>
  <r>
    <s v="108950a"/>
    <m/>
    <m/>
    <m/>
    <x v="1"/>
    <s v="RCC Foundation for 220kV BPI"/>
    <d v="2024-04-04T00:00:00"/>
    <m/>
    <m/>
    <n v="1"/>
    <s v="EA"/>
    <n v="173863.63636363635"/>
    <n v="-8194.0927272727276"/>
    <n v="165669.54363636364"/>
    <x v="1"/>
  </r>
  <r>
    <s v="108950b"/>
    <m/>
    <m/>
    <m/>
    <x v="1"/>
    <s v="RCC Foundation for 220kV BPI"/>
    <d v="2024-04-04T00:00:00"/>
    <m/>
    <m/>
    <n v="1"/>
    <s v="EA"/>
    <n v="869318.18181818177"/>
    <n v="-40970.463636363638"/>
    <n v="828347.71818181826"/>
    <x v="1"/>
  </r>
  <r>
    <s v="108951"/>
    <s v="10021001"/>
    <s v="Transformers (including foundations) NIDP"/>
    <s v="0100000017"/>
    <x v="1"/>
    <s v="RCC Foundation for 220kV tower"/>
    <d v="2024-04-04T00:00:00"/>
    <d v="2024-04-04T00:00:00"/>
    <d v="2024-04-04T00:00:00"/>
    <n v="0.5"/>
    <s v="EA"/>
    <n v="2900000"/>
    <n v="-136675.32999999999"/>
    <n v="2763324.67"/>
    <x v="0"/>
  </r>
  <r>
    <s v="108952"/>
    <s v="10021001"/>
    <s v="Transformers (including foundations) NIDP"/>
    <s v="0100000017"/>
    <x v="1"/>
    <s v="RCC FOUNDATION WITH RAIL FOR 220 KV / 11 KV, 40 MV"/>
    <d v="2024-04-04T00:00:00"/>
    <d v="2024-04-04T00:00:00"/>
    <d v="2024-04-04T00:00:00"/>
    <n v="5.6"/>
    <s v="EA"/>
    <n v="3640000"/>
    <n v="-171551.11"/>
    <n v="3468448.89"/>
    <x v="1"/>
  </r>
  <r>
    <s v="108953"/>
    <s v="10021001"/>
    <s v="Transformers (including foundations) NIDP"/>
    <s v="0100000017"/>
    <x v="1"/>
    <s v="RCC FOUNDATION FOR 220 KV LIGHTENING AREESTORS"/>
    <d v="2024-04-04T00:00:00"/>
    <d v="2024-04-04T00:00:00"/>
    <d v="2024-04-04T00:00:00"/>
    <n v="1"/>
    <s v="EA"/>
    <n v="98000"/>
    <n v="-4618.68"/>
    <n v="93381.32"/>
    <x v="0"/>
  </r>
  <r>
    <s v="108954"/>
    <s v="10021001"/>
    <s v="Transformers (including foundations) NIDP"/>
    <s v="0100000017"/>
    <x v="1"/>
    <s v="RCC FOUNDATION FOR 220 KV CURRENT TRANSFORMERS"/>
    <d v="2024-04-04T00:00:00"/>
    <d v="2024-04-04T00:00:00"/>
    <d v="2024-04-04T00:00:00"/>
    <n v="1"/>
    <s v="EA"/>
    <n v="98000"/>
    <n v="-4618.68"/>
    <n v="93381.32"/>
    <x v="0"/>
  </r>
  <r>
    <s v="108955"/>
    <s v="10021001"/>
    <s v="Transformers (including foundations) NIDP"/>
    <s v="0100000017"/>
    <x v="1"/>
    <s v="CONSTRUCTION OF CABLE TRENCH TRAY ARRANGEMENT"/>
    <d v="2024-04-04T00:00:00"/>
    <d v="2024-04-04T00:00:00"/>
    <d v="2024-04-04T00:00:00"/>
    <n v="1"/>
    <s v="EA"/>
    <n v="982500"/>
    <n v="-46304.66"/>
    <n v="936195.34"/>
    <x v="0"/>
  </r>
  <r>
    <s v="108956"/>
    <s v="10021001"/>
    <s v="Transformers (including foundations) NIDP"/>
    <s v="0100000017"/>
    <x v="1"/>
    <s v="Construction of RCC Foundation for nitrogen purgin"/>
    <d v="2024-04-04T00:00:00"/>
    <d v="2024-04-04T00:00:00"/>
    <d v="2024-04-04T00:00:00"/>
    <n v="2"/>
    <s v="EA"/>
    <n v="100000"/>
    <n v="-4712.9399999999996"/>
    <n v="95287.06"/>
    <x v="0"/>
  </r>
  <r>
    <s v="108956a"/>
    <m/>
    <m/>
    <m/>
    <x v="1"/>
    <s v="Construction of RCC Foundation for nitrogen purgin"/>
    <d v="2024-04-04T00:00:00"/>
    <m/>
    <m/>
    <n v="1"/>
    <s v="EA"/>
    <n v="50000"/>
    <n v="-2356.4699999999998"/>
    <n v="47643.53"/>
    <x v="1"/>
  </r>
  <r>
    <s v="108957"/>
    <s v="10021001"/>
    <s v="Transformers (including foundations) NIDP"/>
    <s v="0100000017"/>
    <x v="1"/>
    <s v="Construction of oil soak pit"/>
    <d v="2024-04-04T00:00:00"/>
    <d v="2024-04-04T00:00:00"/>
    <d v="2024-04-04T00:00:00"/>
    <n v="2"/>
    <s v="EA"/>
    <n v="50000"/>
    <n v="-2356.4733333333334"/>
    <n v="47643.526666666665"/>
    <x v="0"/>
  </r>
  <r>
    <s v="108957a"/>
    <m/>
    <m/>
    <m/>
    <x v="1"/>
    <s v="Construction of oil soak pit"/>
    <d v="2024-04-04T00:00:00"/>
    <m/>
    <m/>
    <n v="1"/>
    <s v="EA"/>
    <n v="25000"/>
    <n v="-1178.2366666666667"/>
    <n v="23821.763333333332"/>
    <x v="1"/>
  </r>
  <r>
    <s v="108958"/>
    <s v="10021001"/>
    <s v="Transformers (including foundations) NIDP"/>
    <s v="0100000017"/>
    <x v="1"/>
    <s v="Construction of Common RCC burnt oil tank"/>
    <d v="2024-04-04T00:00:00"/>
    <d v="2024-04-04T00:00:00"/>
    <d v="2024-04-04T00:00:00"/>
    <n v="1"/>
    <s v="EA"/>
    <n v="1250000"/>
    <n v="-58911.78"/>
    <n v="1191088.22"/>
    <x v="0"/>
  </r>
  <r>
    <s v="108959"/>
    <s v="10021001"/>
    <s v="Transformers (including foundations) NIDP"/>
    <s v="0100000017"/>
    <x v="1"/>
    <s v="Transformer fire wall between 220/11kv, 40MVA , Po"/>
    <d v="2024-04-04T00:00:00"/>
    <d v="2024-04-04T00:00:00"/>
    <d v="2024-04-04T00:00:00"/>
    <n v="2"/>
    <s v="EA"/>
    <n v="1280000"/>
    <n v="-60325.666666666664"/>
    <n v="1219674.3333333333"/>
    <x v="0"/>
  </r>
  <r>
    <s v="108959a"/>
    <m/>
    <m/>
    <m/>
    <x v="1"/>
    <s v="Transformer fire wall between 220/11kv, 40MVA , Po"/>
    <d v="2024-04-04T00:00:00"/>
    <m/>
    <m/>
    <n v="1"/>
    <s v="EA"/>
    <n v="640000"/>
    <n v="-30162.833333333332"/>
    <n v="609837.16666666663"/>
    <x v="1"/>
  </r>
  <r>
    <s v="108960"/>
    <s v="10021001"/>
    <s v="Transformers (including foundations) NIDP"/>
    <s v="0100000017"/>
    <x v="1"/>
    <s v="RCC Foundation for 220KV circuit breaker"/>
    <d v="2024-04-04T00:00:00"/>
    <d v="2024-04-04T00:00:00"/>
    <d v="2024-04-04T00:00:00"/>
    <n v="1"/>
    <s v="EA"/>
    <n v="125000"/>
    <n v="-5891.18"/>
    <n v="119108.82"/>
    <x v="0"/>
  </r>
  <r>
    <s v="108961"/>
    <s v="10021001"/>
    <s v="Transformers (including foundations) NIDP"/>
    <s v="0100000017"/>
    <x v="1"/>
    <s v="RCC foundation for 220KV isolators RCC foundation"/>
    <d v="2024-04-04T00:00:00"/>
    <d v="2024-04-04T00:00:00"/>
    <d v="2024-04-04T00:00:00"/>
    <n v="3"/>
    <s v="EA"/>
    <n v="375000"/>
    <n v="-17673.53"/>
    <n v="357326.47"/>
    <x v="0"/>
  </r>
  <r>
    <s v="108962"/>
    <s v="10021001"/>
    <s v="Transformers (including foundations) NIDP"/>
    <s v="0100000017"/>
    <x v="1"/>
    <s v="RCC FOUNDATION FOR 220KV LIGHTENING ARRESTORS"/>
    <d v="2024-04-04T00:00:00"/>
    <d v="2024-04-04T00:00:00"/>
    <d v="2024-04-04T00:00:00"/>
    <n v="2"/>
    <s v="EA"/>
    <n v="196000"/>
    <n v="-9237.3700000000008"/>
    <n v="186762.63"/>
    <x v="0"/>
  </r>
  <r>
    <s v="108963"/>
    <s v="10021001"/>
    <s v="Transformers (including foundations) NIDP"/>
    <s v="0100000017"/>
    <x v="1"/>
    <s v="RCC FOUNDATION FOR 220KV CURRENT TRANSFORMER"/>
    <d v="2024-04-04T00:00:00"/>
    <d v="2024-04-04T00:00:00"/>
    <d v="2024-04-04T00:00:00"/>
    <n v="2"/>
    <s v="EA"/>
    <n v="196000"/>
    <n v="-9237.3700000000008"/>
    <n v="186762.63"/>
    <x v="0"/>
  </r>
  <r>
    <s v="108964"/>
    <s v="10021001"/>
    <s v="Transformers (including foundations) NIDP"/>
    <s v="0100000017"/>
    <x v="1"/>
    <s v="RCC Foundation for 220kV BPI"/>
    <d v="2024-04-04T00:00:00"/>
    <d v="2024-04-04T00:00:00"/>
    <d v="2024-04-04T00:00:00"/>
    <n v="1"/>
    <s v="EA"/>
    <n v="637500"/>
    <n v="-30045.01"/>
    <n v="607454.99"/>
    <x v="1"/>
  </r>
  <r>
    <s v="108967"/>
    <s v="10024001"/>
    <s v="Other Assets covered NIDP"/>
    <s v="0100000020"/>
    <x v="4"/>
    <s v="Sales loading and unloading charges"/>
    <d v="2024-04-04T00:00:00"/>
    <d v="2024-04-04T00:00:00"/>
    <d v="2024-04-04T00:00:00"/>
    <n v="1"/>
    <s v="EA"/>
    <n v="7000"/>
    <n v="-329.91"/>
    <n v="6670.09"/>
    <x v="0"/>
  </r>
  <r>
    <s v="108973"/>
    <s v="10029001"/>
    <s v="Air Static conditioning NIDP"/>
    <s v="0100000025"/>
    <x v="8"/>
    <s v="SITC of HVAC Work Substation-2 -NIDP"/>
    <d v="2024-04-04T00:00:00"/>
    <d v="2024-04-04T00:00:00"/>
    <d v="2024-04-04T00:00:00"/>
    <n v="1"/>
    <s v="EA"/>
    <n v="325818"/>
    <n v="-15355.61"/>
    <n v="310462.39"/>
    <x v="0"/>
  </r>
  <r>
    <s v="108974"/>
    <s v="10029001"/>
    <s v="Air Static conditioning NIDP"/>
    <s v="0100000025"/>
    <x v="8"/>
    <s v="SITC of HVAC Work Substation-2 -NIDP"/>
    <d v="2024-04-04T00:00:00"/>
    <d v="2024-04-04T00:00:00"/>
    <d v="2024-04-04T00:00:00"/>
    <n v="3"/>
    <s v="EA"/>
    <n v="24819"/>
    <n v="-1169.71"/>
    <n v="23649.29"/>
    <x v="0"/>
  </r>
  <r>
    <s v="108975"/>
    <s v="10029001"/>
    <s v="Air Static conditioning NIDP"/>
    <s v="0100000025"/>
    <x v="8"/>
    <s v="SITC of HVAC Work Substation-2 -NIDP"/>
    <d v="2024-04-04T00:00:00"/>
    <d v="2024-04-04T00:00:00"/>
    <d v="2024-04-04T00:00:00"/>
    <n v="25"/>
    <s v="M"/>
    <n v="38175"/>
    <n v="-1799.17"/>
    <n v="36375.83"/>
    <x v="0"/>
  </r>
  <r>
    <s v="108976"/>
    <s v="10029001"/>
    <s v="Air Static conditioning NIDP"/>
    <s v="0100000025"/>
    <x v="8"/>
    <s v="SITC of HVAC Work Substation-2 -NIDP"/>
    <d v="2024-04-04T00:00:00"/>
    <d v="2024-04-04T00:00:00"/>
    <d v="2024-04-04T00:00:00"/>
    <n v="10"/>
    <s v="M"/>
    <n v="10180"/>
    <n v="-479.78"/>
    <n v="9700.2199999999993"/>
    <x v="0"/>
  </r>
  <r>
    <s v="108977"/>
    <s v="10029001"/>
    <s v="Air Static conditioning NIDP"/>
    <s v="0100000025"/>
    <x v="8"/>
    <s v="SITC of HVAC Work Substation-2 -NIDP"/>
    <d v="2024-04-04T00:00:00"/>
    <d v="2024-04-04T00:00:00"/>
    <d v="2024-04-04T00:00:00"/>
    <n v="120"/>
    <s v="M"/>
    <n v="106920"/>
    <n v="-5039.08"/>
    <n v="101880.92"/>
    <x v="0"/>
  </r>
  <r>
    <s v="108978"/>
    <s v="10029001"/>
    <s v="Air Static conditioning NIDP"/>
    <s v="0100000025"/>
    <x v="8"/>
    <s v="SITC of HVAC Work Substation-2 -NIDP"/>
    <d v="2024-04-04T00:00:00"/>
    <d v="2024-04-04T00:00:00"/>
    <d v="2024-04-04T00:00:00"/>
    <n v="45"/>
    <s v="M"/>
    <n v="31500"/>
    <n v="-1484.58"/>
    <n v="30015.42"/>
    <x v="0"/>
  </r>
  <r>
    <s v="108979"/>
    <s v="10029001"/>
    <s v="Air Static conditioning NIDP"/>
    <s v="0100000025"/>
    <x v="8"/>
    <s v="SITC of HVAC Work Substation-2 -NIDP"/>
    <d v="2024-04-04T00:00:00"/>
    <d v="2024-04-04T00:00:00"/>
    <d v="2024-04-04T00:00:00"/>
    <n v="5"/>
    <s v="M"/>
    <n v="3180"/>
    <n v="-149.87"/>
    <n v="3030.13"/>
    <x v="0"/>
  </r>
  <r>
    <s v="108980"/>
    <s v="10029001"/>
    <s v="Air Static conditioning NIDP"/>
    <s v="0100000025"/>
    <x v="8"/>
    <s v="SITC of HVAC Work Substation-2 -NIDP"/>
    <d v="2024-04-04T00:00:00"/>
    <d v="2024-04-04T00:00:00"/>
    <d v="2024-04-04T00:00:00"/>
    <n v="15"/>
    <s v="M"/>
    <n v="10500"/>
    <n v="-494.86"/>
    <n v="10005.14"/>
    <x v="0"/>
  </r>
  <r>
    <s v="108981"/>
    <s v="10029001"/>
    <s v="Air Static conditioning NIDP"/>
    <s v="0100000025"/>
    <x v="8"/>
    <s v="SITC of HVAC Work Substation-2 -NIDP,200000000000651/9.5mm OD_x000a_(insulation = 13mm thick)_x000a_9.5mm OD (insulation = 13mm_x000a_thick)"/>
    <d v="2024-04-04T00:00:00"/>
    <d v="2024-04-04T00:00:00"/>
    <d v="2024-04-04T00:00:00"/>
    <n v="100"/>
    <s v="M"/>
    <n v="63600"/>
    <n v="-2997.43"/>
    <n v="60602.57"/>
    <x v="0"/>
  </r>
  <r>
    <s v="108982"/>
    <s v="10029001"/>
    <s v="Air Static conditioning NIDP"/>
    <s v="0100000025"/>
    <x v="8"/>
    <s v="SITC of HVAC Work Substation-2 -NIDP, 200000000000651/6.4mm OD_x000a_(insulation = 13mm thick)_x000a_6.4mm OD (insulation = 13mm_x000a_thick)"/>
    <d v="2024-04-04T00:00:00"/>
    <d v="2024-04-04T00:00:00"/>
    <d v="2024-04-04T00:00:00"/>
    <n v="15"/>
    <s v="M"/>
    <n v="7635"/>
    <n v="-359.83"/>
    <n v="7275.17"/>
    <x v="0"/>
  </r>
  <r>
    <s v="108983"/>
    <s v="10029001"/>
    <s v="Air Static conditioning NIDP"/>
    <s v="0100000025"/>
    <x v="8"/>
    <s v="SITC of HVAC Work Substation-2 -NIDP"/>
    <d v="2024-04-04T00:00:00"/>
    <d v="2024-04-04T00:00:00"/>
    <d v="2024-04-04T00:00:00"/>
    <n v="150"/>
    <s v="M"/>
    <n v="137400"/>
    <n v="-6475.58"/>
    <n v="130924.42"/>
    <x v="0"/>
  </r>
  <r>
    <s v="108984"/>
    <s v="10029001"/>
    <s v="Air Static conditioning NIDP"/>
    <s v="0100000025"/>
    <x v="8"/>
    <s v="SITC of HVAC Work Substation-2 -NIDP"/>
    <d v="2024-04-04T00:00:00"/>
    <d v="2024-04-04T00:00:00"/>
    <d v="2024-04-04T00:00:00"/>
    <n v="14"/>
    <s v="EA"/>
    <n v="247492"/>
    <n v="-11664.16"/>
    <n v="235827.84"/>
    <x v="0"/>
  </r>
  <r>
    <s v="108993"/>
    <s v="10029001"/>
    <s v="Air Static conditioning NIDP"/>
    <s v="0100000025"/>
    <x v="8"/>
    <s v="SITC of HVAC Work Substation-2 -NIDP"/>
    <d v="2024-04-04T00:00:00"/>
    <d v="2024-04-04T00:00:00"/>
    <d v="2024-04-04T00:00:00"/>
    <n v="1"/>
    <s v="EA"/>
    <n v="239889.82"/>
    <n v="-11305.87"/>
    <n v="228583.95"/>
    <x v="0"/>
  </r>
  <r>
    <s v="109010"/>
    <s v="10031001"/>
    <s v="Meters - NIDP"/>
    <s v="0100000026"/>
    <x v="5"/>
    <s v="SER000-028 Repairing charges of Energy meters"/>
    <d v="2024-04-04T00:00:00"/>
    <d v="2024-04-04T00:00:00"/>
    <d v="2024-04-04T00:00:00"/>
    <n v="10"/>
    <s v="EA"/>
    <n v="50000"/>
    <n v="-2356.4699999999998"/>
    <n v="47643.53"/>
    <x v="0"/>
  </r>
  <r>
    <s v="109011"/>
    <s v="10023001"/>
    <s v="Switchgear cable connection NIDP"/>
    <s v="0100000019"/>
    <x v="9"/>
    <s v="Galvanised steel structure for Supply of galvanise"/>
    <d v="2024-04-04T00:00:00"/>
    <d v="2024-04-04T00:00:00"/>
    <d v="2024-04-04T00:00:00"/>
    <n v="0.5"/>
    <s v="AU"/>
    <n v="17331200"/>
    <n v="-816809.48"/>
    <n v="16514390.52"/>
    <x v="0"/>
  </r>
  <r>
    <s v="109012"/>
    <s v="10023001"/>
    <s v="Switchgear cable connection NIDP"/>
    <s v="0100000019"/>
    <x v="9"/>
    <s v="Supply of 220kV, 1250A, 40kA for 3 Sec. pole operated single phase SF6 Circuit Breaker for Bus Coupler"/>
    <d v="2024-04-04T00:00:00"/>
    <d v="2024-04-04T00:00:00"/>
    <d v="2024-04-04T00:00:00"/>
    <n v="1"/>
    <s v="SET"/>
    <n v="1600642.38"/>
    <n v="-75437.350000000006"/>
    <n v="1525205.03"/>
    <x v="0"/>
  </r>
  <r>
    <s v="109013"/>
    <s v="10023001"/>
    <s v="Switchgear cable connection NIDP"/>
    <s v="0100000019"/>
    <x v="9"/>
    <s v="Supply of 220KV, 1600A, 40kA for 3 Sec. pole operated for Transformer bay"/>
    <d v="2024-04-04T00:00:00"/>
    <d v="2024-04-04T00:00:00"/>
    <d v="2024-04-04T00:00:00"/>
    <n v="2"/>
    <s v="SET"/>
    <n v="3201283.16"/>
    <n v="-150874.63333333333"/>
    <n v="3050408.5266666668"/>
    <x v="0"/>
  </r>
  <r>
    <s v="109013a"/>
    <m/>
    <m/>
    <m/>
    <x v="9"/>
    <s v="Supply of 220KV, 1600A, 40kA for 3 Sec. pole operated for Transformer bay"/>
    <d v="2024-04-04T00:00:00"/>
    <m/>
    <m/>
    <n v="1"/>
    <s v="SET"/>
    <n v="1600641.58"/>
    <n v="-75437.316666666666"/>
    <n v="1525204.2633333334"/>
    <x v="1"/>
  </r>
  <r>
    <s v="109014"/>
    <s v="10023001"/>
    <s v="Switchgear cable connection NIDP"/>
    <s v="0100000019"/>
    <x v="9"/>
    <s v="Supply of 220KV, 1600A, 40kA for 3 Sec. pole operated for Transformer bay"/>
    <d v="2024-04-04T00:00:00"/>
    <d v="2024-04-04T00:00:00"/>
    <d v="2024-04-04T00:00:00"/>
    <n v="3"/>
    <s v="SET"/>
    <n v="4801926"/>
    <n v="-226312.01"/>
    <n v="4575613.99"/>
    <x v="1"/>
  </r>
  <r>
    <s v="109015"/>
    <s v="10023001"/>
    <s v="Switchgear cable connection NIDP"/>
    <s v="0100000019"/>
    <x v="9"/>
    <s v="Supply of 220KV, 1600A, 40kA for 3 Sec. pole operated for Transformer bay"/>
    <d v="2024-04-04T00:00:00"/>
    <d v="2024-04-04T00:00:00"/>
    <d v="2024-04-04T00:00:00"/>
    <n v="2"/>
    <s v="SET"/>
    <n v="3201284"/>
    <n v="-150874.67000000001"/>
    <n v="3050409.33"/>
    <x v="1"/>
  </r>
  <r>
    <s v="109016"/>
    <s v="10023001"/>
    <s v="Switchgear cable connection NIDP"/>
    <s v="0100000019"/>
    <x v="9"/>
    <s v="Supply of 220kV, 1250A, 40kA for 3 Sec. pole  operated single phase SF6 Circuit Breaker"/>
    <d v="2024-04-04T00:00:00"/>
    <d v="2024-04-04T00:00:00"/>
    <d v="2024-04-04T00:00:00"/>
    <n v="2"/>
    <s v="SET"/>
    <n v="3201284.74"/>
    <n v="-150874.71"/>
    <n v="3050410.03"/>
    <x v="0"/>
  </r>
  <r>
    <s v="109017"/>
    <s v="10023001"/>
    <s v="Switchgear cable connection NIDP"/>
    <s v="0100000019"/>
    <x v="9"/>
    <s v="Supply of LT Power &amp; Control cables with suitable"/>
    <d v="2024-04-04T00:00:00"/>
    <d v="2024-04-04T00:00:00"/>
    <d v="2024-04-04T00:00:00"/>
    <n v="0.45454545454545453"/>
    <s v="M"/>
    <n v="5854727.2727272725"/>
    <n v="-275929.92727272725"/>
    <n v="5578797.3454545457"/>
    <x v="0"/>
  </r>
  <r>
    <s v="109017a"/>
    <m/>
    <m/>
    <m/>
    <x v="9"/>
    <s v="Supply of LT Power &amp; Control cables with suitable"/>
    <d v="2024-04-04T00:00:00"/>
    <m/>
    <m/>
    <n v="9.0909090909090912E-2"/>
    <s v="M"/>
    <n v="1170945.4545454546"/>
    <n v="-55185.985454545451"/>
    <n v="1115759.4690909092"/>
    <x v="1"/>
  </r>
  <r>
    <s v="109017b"/>
    <m/>
    <m/>
    <m/>
    <x v="9"/>
    <s v="Supply of LT Power &amp; Control cables with suitable"/>
    <d v="2024-04-04T00:00:00"/>
    <m/>
    <m/>
    <n v="0.45454545454545453"/>
    <s v="M"/>
    <n v="5854727.2727272725"/>
    <n v="-275929.92727272725"/>
    <n v="5578797.3454545457"/>
    <x v="1"/>
  </r>
  <r>
    <s v="109018"/>
    <s v="10023001"/>
    <s v="Switchgear cable connection NIDP"/>
    <s v="0100000019"/>
    <x v="9"/>
    <s v="Galvanised steel structure for Supply of galvanise"/>
    <d v="2024-04-04T00:00:00"/>
    <d v="2024-04-04T00:00:00"/>
    <d v="2024-04-04T00:00:00"/>
    <n v="0.5"/>
    <s v="AU"/>
    <n v="17331200"/>
    <n v="-816809.48"/>
    <n v="16514390.52"/>
    <x v="1"/>
  </r>
  <r>
    <s v="109019"/>
    <s v="10023001"/>
    <s v="Switchgear cable connection NIDP"/>
    <s v="0100000019"/>
    <x v="9"/>
    <s v="Supply of 415V ACDB for yard auxilliary"/>
    <d v="2024-04-04T00:00:00"/>
    <d v="2024-04-04T00:00:00"/>
    <d v="2024-04-04T00:00:00"/>
    <n v="5"/>
    <s v="NOS"/>
    <n v="560000"/>
    <n v="-26392.477272727272"/>
    <n v="533607.52272727271"/>
    <x v="0"/>
  </r>
  <r>
    <s v="109019a"/>
    <m/>
    <m/>
    <m/>
    <x v="9"/>
    <s v="Supply of 415V ACDB for yard auxilliary"/>
    <d v="2024-04-04T00:00:00"/>
    <m/>
    <m/>
    <n v="1"/>
    <s v="NOS"/>
    <n v="112000"/>
    <n v="-5278.4954545454539"/>
    <n v="106721.50454545455"/>
    <x v="1"/>
  </r>
  <r>
    <s v="109019b"/>
    <m/>
    <m/>
    <m/>
    <x v="9"/>
    <s v="Supply of 415V ACDB for yard auxilliary"/>
    <d v="2024-04-04T00:00:00"/>
    <m/>
    <m/>
    <n v="5"/>
    <s v="NOS"/>
    <n v="560000"/>
    <n v="-26392.477272727272"/>
    <n v="533607.52272727271"/>
    <x v="1"/>
  </r>
  <r>
    <s v="109020"/>
    <s v="10023001"/>
    <s v="Switchgear cable connection NIDP"/>
    <s v="0100000019"/>
    <x v="9"/>
    <s v="Supply of 220KV Bay Marshalling Kiosk"/>
    <d v="2024-04-04T00:00:00"/>
    <d v="2024-04-04T00:00:00"/>
    <d v="2024-04-04T00:00:00"/>
    <n v="5"/>
    <s v="NOS"/>
    <n v="551500"/>
    <n v="-25991.87727272727"/>
    <n v="525508.1227272728"/>
    <x v="0"/>
  </r>
  <r>
    <s v="109020a"/>
    <m/>
    <m/>
    <m/>
    <x v="9"/>
    <s v="Supply of 220KV Bay Marshalling Kiosk"/>
    <d v="2024-04-04T00:00:00"/>
    <m/>
    <m/>
    <n v="1"/>
    <s v="NOS"/>
    <n v="110300"/>
    <n v="-5198.375454545454"/>
    <n v="105101.62454545456"/>
    <x v="1"/>
  </r>
  <r>
    <s v="109020b"/>
    <m/>
    <m/>
    <m/>
    <x v="9"/>
    <s v="Supply of 220KV Bay Marshalling Kiosk"/>
    <d v="2024-04-04T00:00:00"/>
    <m/>
    <m/>
    <n v="5"/>
    <s v="NOS"/>
    <n v="551500"/>
    <n v="-25991.87727272727"/>
    <n v="525508.1227272728"/>
    <x v="1"/>
  </r>
  <r>
    <s v="109021"/>
    <s v="10023001"/>
    <s v="Switchgear cable connection NIDP"/>
    <s v="0100000019"/>
    <x v="9"/>
    <s v="Junction for 220 kv CVT/PT suitable for outdoor installation."/>
    <d v="2024-04-04T00:00:00"/>
    <d v="2024-04-04T00:00:00"/>
    <d v="2024-04-04T00:00:00"/>
    <n v="4"/>
    <s v="NOS"/>
    <n v="216000"/>
    <n v="-10179.959999999999"/>
    <n v="205820.04"/>
    <x v="0"/>
  </r>
  <r>
    <s v="109022"/>
    <s v="10023001"/>
    <s v="Switchgear cable connection NIDP"/>
    <s v="0100000019"/>
    <x v="9"/>
    <s v="Junction for 220 kv CT's suitable foroutdoor installation."/>
    <d v="2024-04-04T00:00:00"/>
    <d v="2024-04-04T00:00:00"/>
    <d v="2024-04-04T00:00:00"/>
    <n v="5"/>
    <s v="NOS"/>
    <n v="270000"/>
    <n v="-12724.945454545454"/>
    <n v="257275.05454545456"/>
    <x v="0"/>
  </r>
  <r>
    <s v="109022a"/>
    <m/>
    <m/>
    <m/>
    <x v="9"/>
    <s v="Junction for 220 kv CT's suitable foroutdoor installation."/>
    <d v="2024-04-04T00:00:00"/>
    <m/>
    <m/>
    <n v="1"/>
    <s v="NOS"/>
    <n v="54000"/>
    <n v="-2544.9890909090909"/>
    <n v="51455.01090909091"/>
    <x v="1"/>
  </r>
  <r>
    <s v="109022b"/>
    <m/>
    <m/>
    <m/>
    <x v="9"/>
    <s v="Junction for 220 kv CT's suitable foroutdoor installation."/>
    <d v="2024-04-04T00:00:00"/>
    <m/>
    <m/>
    <n v="5"/>
    <s v="NOS"/>
    <n v="270000"/>
    <n v="-12724.945454545454"/>
    <n v="257275.05454545456"/>
    <x v="1"/>
  </r>
  <r>
    <s v="109023"/>
    <s v="10022001"/>
    <s v="Building-Others - NIDP"/>
    <s v="0100000018"/>
    <x v="10"/>
    <s v="Civil Work"/>
    <d v="2024-04-04T00:00:00"/>
    <d v="2024-04-04T00:00:00"/>
    <d v="2024-04-04T00:00:00"/>
    <n v="0.28000000000000003"/>
    <s v="M2"/>
    <n v="343294"/>
    <n v="-10234.6"/>
    <n v="333059.40000000002"/>
    <x v="0"/>
  </r>
  <r>
    <s v="109024"/>
    <s v="10022001"/>
    <s v="Building-Others - NIDP"/>
    <s v="0100000018"/>
    <x v="10"/>
    <s v="Civil Work"/>
    <d v="2024-04-04T00:00:00"/>
    <d v="2024-04-04T00:00:00"/>
    <d v="2024-04-04T00:00:00"/>
    <n v="0.11"/>
    <s v="M2"/>
    <n v="789593.98"/>
    <n v="-23540.11"/>
    <n v="766053.87"/>
    <x v="0"/>
  </r>
  <r>
    <s v="109025"/>
    <s v="10022001"/>
    <s v="Building-Others - NIDP"/>
    <s v="0100000018"/>
    <x v="10"/>
    <s v="Civil Work"/>
    <d v="2024-04-04T00:00:00"/>
    <d v="2024-04-04T00:00:00"/>
    <d v="2024-04-04T00:00:00"/>
    <n v="0.11"/>
    <s v="M2"/>
    <n v="284308.2"/>
    <n v="-8476.06"/>
    <n v="275832.14"/>
    <x v="0"/>
  </r>
  <r>
    <s v="109026"/>
    <s v="10022001"/>
    <s v="Building-Others - NIDP"/>
    <s v="0100000018"/>
    <x v="10"/>
    <s v="Civil Work"/>
    <d v="2024-04-04T00:00:00"/>
    <d v="2024-04-04T00:00:00"/>
    <d v="2024-04-04T00:00:00"/>
    <n v="0.15"/>
    <s v="M2"/>
    <n v="888858"/>
    <n v="-26499.46"/>
    <n v="862358.54"/>
    <x v="0"/>
  </r>
  <r>
    <s v="109027"/>
    <s v="10022001"/>
    <s v="Building-Others - NIDP"/>
    <s v="0100000018"/>
    <x v="10"/>
    <s v="Civil Work - Substation Building Works"/>
    <d v="2024-04-04T00:00:00"/>
    <d v="2024-04-04T00:00:00"/>
    <d v="2024-04-04T00:00:00"/>
    <n v="0.34"/>
    <s v="M2"/>
    <n v="2404681.4900000002"/>
    <n v="-71690.600000000006"/>
    <n v="2332990.89"/>
    <x v="0"/>
  </r>
  <r>
    <s v="109028"/>
    <s v="10022001"/>
    <s v="Building-Others - NIDP"/>
    <s v="0100000018"/>
    <x v="10"/>
    <s v="Civil Work - Substation Building Works"/>
    <d v="2024-04-04T00:00:00"/>
    <d v="2024-04-04T00:00:00"/>
    <d v="2024-04-04T00:00:00"/>
    <n v="0.56999999999999995"/>
    <s v="M2"/>
    <n v="1473227.07"/>
    <n v="-43921.22"/>
    <n v="1429305.85"/>
    <x v="0"/>
  </r>
  <r>
    <s v="109029"/>
    <s v="10022001"/>
    <s v="Building-Others - NIDP"/>
    <s v="0100000018"/>
    <x v="10"/>
    <s v="Civil Work - Substation Building Works"/>
    <d v="2024-04-04T00:00:00"/>
    <d v="2024-04-04T00:00:00"/>
    <d v="2024-04-04T00:00:00"/>
    <n v="0.41"/>
    <s v="M2"/>
    <n v="2501205"/>
    <n v="-74568.25"/>
    <n v="2426636.75"/>
    <x v="0"/>
  </r>
  <r>
    <s v="109030"/>
    <s v="10023001"/>
    <s v="Switchgear cable connection NIDP"/>
    <s v="0100000019"/>
    <x v="9"/>
    <s v="Inst of outdoor type double break center post, rot Bus coupler"/>
    <d v="2024-04-04T00:00:00"/>
    <d v="2024-04-04T00:00:00"/>
    <d v="2024-04-04T00:00:00"/>
    <n v="2"/>
    <s v="EA"/>
    <n v="25262"/>
    <n v="-1190.58"/>
    <n v="24071.42"/>
    <x v="0"/>
  </r>
  <r>
    <s v="109031"/>
    <s v="10023001"/>
    <s v="Switchgear cable connection NIDP"/>
    <s v="0100000019"/>
    <x v="9"/>
    <s v="Inst of outdoor type double break center post, rot Bus coupler"/>
    <d v="2024-04-04T00:00:00"/>
    <d v="2024-04-04T00:00:00"/>
    <d v="2024-04-04T00:00:00"/>
    <n v="2"/>
    <s v="EA"/>
    <n v="25262"/>
    <n v="-1190.58"/>
    <n v="24071.42"/>
    <x v="1"/>
  </r>
  <r>
    <s v="109032"/>
    <s v="10023001"/>
    <s v="Switchgear cable connection NIDP"/>
    <s v="0100000019"/>
    <x v="9"/>
    <s v="HT SWITCH BOARDS (Supply &amp; Insta)"/>
    <d v="2024-04-04T00:00:00"/>
    <d v="2024-04-04T00:00:00"/>
    <d v="2024-04-04T00:00:00"/>
    <n v="1"/>
    <s v="EA"/>
    <n v="8041500"/>
    <n v="-378991.27"/>
    <n v="7662508.7300000004"/>
    <x v="0"/>
  </r>
  <r>
    <s v="109033"/>
    <s v="10023001"/>
    <s v="Switchgear cable connection NIDP"/>
    <s v="0100000019"/>
    <x v="9"/>
    <s v="Supply of 220kV, 1250A, 40kA for 3 sec, outdoor type Buscoupler Bay section"/>
    <d v="2024-04-04T00:00:00"/>
    <d v="2024-04-04T00:00:00"/>
    <d v="2024-04-04T00:00:00"/>
    <n v="2"/>
    <s v="SET"/>
    <n v="1077355.6599999999"/>
    <n v="-50775.15"/>
    <n v="1026580.51"/>
    <x v="0"/>
  </r>
  <r>
    <s v="109034"/>
    <s v="10023001"/>
    <s v="Switchgear cable connection NIDP"/>
    <s v="0100000019"/>
    <x v="9"/>
    <s v="Supply of 220kV, 1250A, 40kA for 3 sec, outdoor type Transformer Bay section"/>
    <d v="2024-04-04T00:00:00"/>
    <d v="2024-04-04T00:00:00"/>
    <d v="2024-04-04T00:00:00"/>
    <n v="2"/>
    <s v="SET"/>
    <n v="1077356"/>
    <n v="-50775.167500000003"/>
    <n v="1026580.8325"/>
    <x v="0"/>
  </r>
  <r>
    <s v="109034a"/>
    <m/>
    <m/>
    <m/>
    <x v="9"/>
    <s v="Supply of 220kV, 1250A, 40kA for 3 sec, outdoor type Transformer Bay section"/>
    <d v="2024-04-04T00:00:00"/>
    <m/>
    <m/>
    <n v="1"/>
    <s v="SET"/>
    <n v="538678"/>
    <n v="-25387.583750000002"/>
    <n v="513290.41625000001"/>
    <x v="1"/>
  </r>
  <r>
    <s v="109034b"/>
    <m/>
    <m/>
    <m/>
    <x v="9"/>
    <s v="Supply of 220kV, 1250A, 40kA for 3 sec, outdoor type Transformer Bay section"/>
    <d v="2024-04-04T00:00:00"/>
    <m/>
    <m/>
    <n v="5"/>
    <s v="SET"/>
    <n v="2693390"/>
    <n v="-126937.91875000001"/>
    <n v="2566452.0812499998"/>
    <x v="1"/>
  </r>
  <r>
    <s v="109035"/>
    <s v="10023001"/>
    <s v="Switchgear cable connection NIDP"/>
    <s v="0100000019"/>
    <x v="9"/>
    <s v="Supply of 220kV, 1250A, 40kA for 3 sec, outdoor type Line Bay section"/>
    <d v="2024-04-04T00:00:00"/>
    <d v="2024-04-04T00:00:00"/>
    <d v="2024-04-04T00:00:00"/>
    <n v="2"/>
    <s v="SET"/>
    <n v="1077356"/>
    <n v="-50775.17"/>
    <n v="1026580.83"/>
    <x v="0"/>
  </r>
  <r>
    <s v="109036"/>
    <s v="10023001"/>
    <s v="Switchgear cable connection NIDP"/>
    <s v="0100000019"/>
    <x v="9"/>
    <s v="Supply of 220kV, 1250A, 40kA for 3 Sec., outdoor tandem type isolator"/>
    <d v="2024-04-04T00:00:00"/>
    <d v="2024-04-04T00:00:00"/>
    <d v="2024-04-04T00:00:00"/>
    <n v="2"/>
    <s v="SET"/>
    <n v="904977.52"/>
    <n v="-42651.07"/>
    <n v="862326.45"/>
    <x v="0"/>
  </r>
  <r>
    <s v="109037"/>
    <s v="10023001"/>
    <s v="Switchgear cable connection NIDP"/>
    <s v="0100000019"/>
    <x v="9"/>
    <s v="Supply of 220kV, 1250A, 40kA for 3 Sec. outdoor  type Isplator with earth switch"/>
    <d v="2024-04-04T00:00:00"/>
    <d v="2024-04-04T00:00:00"/>
    <d v="2024-04-04T00:00:00"/>
    <n v="2"/>
    <s v="SET"/>
    <n v="868040"/>
    <n v="-40910.230000000003"/>
    <n v="827129.77"/>
    <x v="1"/>
  </r>
  <r>
    <s v="109038"/>
    <s v="10023001"/>
    <s v="Switchgear cable connection NIDP"/>
    <s v="0100000019"/>
    <x v="9"/>
    <s v="Supply of 220kV, 1250A, 40kA for 3 Sec. outdoor  type Isplator with earth switch"/>
    <d v="2024-04-04T00:00:00"/>
    <d v="2024-04-04T00:00:00"/>
    <d v="2024-04-04T00:00:00"/>
    <n v="2"/>
    <s v="SET"/>
    <n v="868040"/>
    <n v="-40910.230000000003"/>
    <n v="827129.77"/>
    <x v="0"/>
  </r>
  <r>
    <s v="109039"/>
    <s v="10023001"/>
    <s v="Switchgear cable connection NIDP"/>
    <s v="0100000019"/>
    <x v="9"/>
    <s v="Supply of 220kV, 1250A, 40kA for 3 Sec.outdoor type Isolator"/>
    <d v="2024-04-04T00:00:00"/>
    <d v="2024-04-04T00:00:00"/>
    <d v="2024-04-04T00:00:00"/>
    <n v="2"/>
    <s v="SET"/>
    <n v="904978"/>
    <n v="-42651.09"/>
    <n v="862326.91"/>
    <x v="0"/>
  </r>
  <r>
    <s v="109040"/>
    <s v="10023001"/>
    <s v="Switchgear cable connection NIDP"/>
    <s v="0100000019"/>
    <x v="9"/>
    <s v="Supply of 220kV, 1250A, 40kA for 3 Sec. outdoor type Isolator with earth switch"/>
    <d v="2024-04-04T00:00:00"/>
    <d v="2024-04-04T00:00:00"/>
    <d v="2024-04-04T00:00:00"/>
    <n v="4"/>
    <s v="SET"/>
    <n v="1736080"/>
    <n v="-81820.448000000004"/>
    <n v="1654259.5519999999"/>
    <x v="0"/>
  </r>
  <r>
    <s v="109040a"/>
    <s v="10023001"/>
    <s v="Switchgear cable connection NIDP"/>
    <s v="0100000019"/>
    <x v="9"/>
    <s v="Supply of 220kV, 1250A, 40kA for 3 Sec. outdoor type Isolator with earth switch"/>
    <d v="2024-04-04T00:00:00"/>
    <d v="2024-04-04T00:00:00"/>
    <d v="2024-04-04T00:00:00"/>
    <n v="1"/>
    <s v="SET"/>
    <n v="434020"/>
    <n v="-20455.112000000001"/>
    <n v="413564.88799999998"/>
    <x v="1"/>
  </r>
  <r>
    <s v="109041"/>
    <s v="10023001"/>
    <s v="Switchgear cable connection NIDP"/>
    <s v="0100000019"/>
    <x v="9"/>
    <s v="Supply of Clamps &amp; Connectors for switchyard equi"/>
    <d v="2024-04-04T00:00:00"/>
    <d v="2024-04-04T00:00:00"/>
    <d v="2024-04-04T00:00:00"/>
    <n v="0.45454545454545453"/>
    <s v="NOS"/>
    <n v="616500"/>
    <n v="-29055.290909090909"/>
    <n v="587444.70909090911"/>
    <x v="0"/>
  </r>
  <r>
    <s v="109041a"/>
    <m/>
    <m/>
    <m/>
    <x v="9"/>
    <s v="Supply of Clamps &amp; Connectors for switchyard equi"/>
    <d v="2024-04-04T00:00:00"/>
    <m/>
    <m/>
    <n v="9.0909090909090912E-2"/>
    <s v="NOS"/>
    <n v="123300"/>
    <n v="-5811.0581818181818"/>
    <n v="117488.94181818183"/>
    <x v="1"/>
  </r>
  <r>
    <s v="109041b"/>
    <m/>
    <m/>
    <m/>
    <x v="9"/>
    <s v="Supply of Clamps &amp; Connectors for switchyard equi"/>
    <d v="2024-04-04T00:00:00"/>
    <m/>
    <m/>
    <n v="0.45454545454545453"/>
    <s v="NOS"/>
    <n v="616500"/>
    <n v="-29055.290909090909"/>
    <n v="587444.70909090911"/>
    <x v="1"/>
  </r>
  <r>
    <s v="109042"/>
    <s v="10023001"/>
    <s v="Switchgear cable connection NIDP"/>
    <s v="0100000019"/>
    <x v="9"/>
    <s v="Supply of 220kV Control &amp; Relay Panel for Centralised Bus bar Protection"/>
    <d v="2024-04-04T00:00:00"/>
    <d v="2024-04-04T00:00:00"/>
    <d v="2024-04-04T00:00:00"/>
    <n v="1"/>
    <s v="NOS"/>
    <n v="2008000"/>
    <n v="-94635.88"/>
    <n v="1913364.12"/>
    <x v="0"/>
  </r>
  <r>
    <s v="109043"/>
    <s v="10023001"/>
    <s v="Switchgear cable connection NIDP"/>
    <s v="0100000019"/>
    <x v="9"/>
    <s v="220kV Control &amp; Relay Panel for Bus Coupler Protec"/>
    <d v="2024-04-04T00:00:00"/>
    <d v="2024-04-04T00:00:00"/>
    <d v="2024-04-04T00:00:00"/>
    <n v="1"/>
    <s v="NOS"/>
    <n v="1764600"/>
    <n v="-83164.58"/>
    <n v="1681435.42"/>
    <x v="0"/>
  </r>
  <r>
    <s v="109044"/>
    <s v="10023001"/>
    <s v="Switchgear cable connection NIDP"/>
    <s v="0100000019"/>
    <x v="9"/>
    <s v="SUPPLY OF 220KV Control &amp; Relay Panel for Transfor"/>
    <d v="2024-04-04T00:00:00"/>
    <d v="2024-04-04T00:00:00"/>
    <d v="2024-04-04T00:00:00"/>
    <n v="1"/>
    <s v="NOS"/>
    <n v="2008000"/>
    <n v="-94635.88"/>
    <n v="1913364.12"/>
    <x v="0"/>
  </r>
  <r>
    <s v="109045"/>
    <s v="10023001"/>
    <s v="Switchgear cable connection NIDP"/>
    <s v="0100000019"/>
    <x v="9"/>
    <s v="SUPPLY OF 220KV Control &amp; Relay Panel for Transfor"/>
    <d v="2024-04-04T00:00:00"/>
    <d v="2024-04-04T00:00:00"/>
    <d v="2024-04-04T00:00:00"/>
    <n v="1"/>
    <s v="NOS"/>
    <n v="2008000"/>
    <n v="-94635.88"/>
    <n v="1913364.12"/>
    <x v="0"/>
  </r>
  <r>
    <s v="109046"/>
    <s v="10023001"/>
    <s v="Switchgear cable connection NIDP"/>
    <s v="0100000019"/>
    <x v="9"/>
    <s v="SUPPLY OF 220KV Control &amp; Relay Panel for Transfor"/>
    <d v="2024-04-04T00:00:00"/>
    <d v="2024-04-04T00:00:00"/>
    <d v="2024-04-04T00:00:00"/>
    <n v="1"/>
    <s v="NOS"/>
    <n v="2008000"/>
    <n v="-94635.88"/>
    <n v="1913364.12"/>
    <x v="1"/>
  </r>
  <r>
    <s v="109047"/>
    <s v="10023001"/>
    <s v="Switchgear cable connection NIDP"/>
    <s v="0100000019"/>
    <x v="9"/>
    <s v="SUPPLY OF 220KV Control &amp; Relay Panel for Transfor"/>
    <d v="2024-04-04T00:00:00"/>
    <d v="2024-04-04T00:00:00"/>
    <d v="2024-04-04T00:00:00"/>
    <n v="1"/>
    <s v="NOS"/>
    <n v="2008000"/>
    <n v="-94635.88"/>
    <n v="1913364.12"/>
    <x v="1"/>
  </r>
  <r>
    <s v="109048"/>
    <s v="10023001"/>
    <s v="Switchgear cable connection NIDP"/>
    <s v="0100000019"/>
    <x v="9"/>
    <s v="SUPPLY OF 220KV Control &amp; Relay Panel for Transfor"/>
    <d v="2024-04-04T00:00:00"/>
    <d v="2024-04-04T00:00:00"/>
    <d v="2024-04-04T00:00:00"/>
    <n v="1"/>
    <s v="NOS"/>
    <n v="2008000"/>
    <n v="-94635.88"/>
    <n v="1913364.12"/>
    <x v="1"/>
  </r>
  <r>
    <s v="109049"/>
    <s v="10023001"/>
    <s v="Switchgear cable connection NIDP"/>
    <s v="0100000019"/>
    <x v="9"/>
    <s v="SUPPLY OF 220KV Control &amp; Relay Panel for Transfor"/>
    <d v="2024-04-04T00:00:00"/>
    <d v="2024-04-04T00:00:00"/>
    <d v="2024-04-04T00:00:00"/>
    <n v="1"/>
    <s v="NOS"/>
    <n v="2008000"/>
    <n v="-94635.88"/>
    <n v="1913364.12"/>
    <x v="1"/>
  </r>
  <r>
    <s v="109050"/>
    <s v="10023001"/>
    <s v="Switchgear cable connection NIDP"/>
    <s v="0100000019"/>
    <x v="9"/>
    <s v="SUPPLY OF 220KV Control &amp; Relay Panel for Transfor"/>
    <d v="2024-04-04T00:00:00"/>
    <d v="2024-04-04T00:00:00"/>
    <d v="2024-04-04T00:00:00"/>
    <n v="1"/>
    <s v="NOS"/>
    <n v="2008000"/>
    <n v="-94635.88"/>
    <n v="1913364.12"/>
    <x v="1"/>
  </r>
  <r>
    <s v="109051"/>
    <s v="10023001"/>
    <s v="Switchgear cable connection NIDP"/>
    <s v="0100000019"/>
    <x v="9"/>
    <s v="SUPPLY OF 220KV Control &amp; Relay Panel for Transfor"/>
    <d v="2024-04-04T00:00:00"/>
    <d v="2024-04-04T00:00:00"/>
    <d v="2024-04-04T00:00:00"/>
    <n v="1"/>
    <s v="NOS"/>
    <n v="2008000"/>
    <n v="-94635.88"/>
    <n v="1913364.12"/>
    <x v="1"/>
  </r>
  <r>
    <s v="109052"/>
    <s v="10023001"/>
    <s v="Switchgear cable connection NIDP"/>
    <s v="0100000019"/>
    <x v="9"/>
    <s v="SUPPLY OF 220KV Control&amp; Relay Panel for Line protection"/>
    <d v="2024-04-04T00:00:00"/>
    <d v="2024-04-04T00:00:00"/>
    <d v="2024-04-04T00:00:00"/>
    <n v="1"/>
    <s v="NOS"/>
    <n v="2251400"/>
    <n v="-106107.19"/>
    <n v="2145292.81"/>
    <x v="0"/>
  </r>
  <r>
    <s v="109053"/>
    <s v="10023001"/>
    <s v="Switchgear cable connection NIDP"/>
    <s v="0100000019"/>
    <x v="9"/>
    <s v="SUPPLY OF 220KV Control&amp; Relay Panel for Line protection"/>
    <d v="2024-04-04T00:00:00"/>
    <d v="2024-04-04T00:00:00"/>
    <d v="2024-04-04T00:00:00"/>
    <n v="1"/>
    <s v="NOS"/>
    <n v="2251400"/>
    <n v="-106107.19"/>
    <n v="2145292.81"/>
    <x v="0"/>
  </r>
  <r>
    <s v="109054"/>
    <s v="10023001"/>
    <s v="Switchgear cable connection NIDP"/>
    <s v="0100000019"/>
    <x v="9"/>
    <s v="Supply of FRP Cable tray along with SS Heardwear s"/>
    <d v="2024-04-04T00:00:00"/>
    <d v="2024-04-04T00:00:00"/>
    <d v="2024-04-04T00:00:00"/>
    <n v="0.45454545454545453"/>
    <s v="NOS"/>
    <n v="845863.63636363635"/>
    <n v="-39865.068181818177"/>
    <n v="805998.56818181823"/>
    <x v="0"/>
  </r>
  <r>
    <s v="109054a"/>
    <m/>
    <m/>
    <m/>
    <x v="9"/>
    <s v="Supply of FRP Cable tray along with SS Heardwear s"/>
    <d v="2024-04-04T00:00:00"/>
    <m/>
    <m/>
    <n v="9.0909090909090912E-2"/>
    <s v="NOS"/>
    <n v="169172.72727272726"/>
    <n v="-7973.0136363636357"/>
    <n v="161199.71363636365"/>
    <x v="1"/>
  </r>
  <r>
    <s v="109054b"/>
    <m/>
    <m/>
    <m/>
    <x v="9"/>
    <s v="Supply of FRP Cable tray along with SS Heardwear s"/>
    <d v="2024-04-04T00:00:00"/>
    <m/>
    <m/>
    <n v="0.45454545454545453"/>
    <s v="NOS"/>
    <n v="845863.63636363635"/>
    <n v="-39865.068181818177"/>
    <n v="805998.56818181823"/>
    <x v="1"/>
  </r>
  <r>
    <s v="109055"/>
    <s v="10023001"/>
    <s v="Switchgear cable connection NIDP"/>
    <s v="0100000019"/>
    <x v="9"/>
    <s v="HT panvel with necessary accessories HT SWITCH BOA"/>
    <d v="2024-04-04T00:00:00"/>
    <d v="2024-04-04T00:00:00"/>
    <d v="2024-04-04T00:00:00"/>
    <n v="1"/>
    <s v="EA"/>
    <n v="4233500"/>
    <n v="-199522.42"/>
    <n v="4033977.58"/>
    <x v="1"/>
  </r>
  <r>
    <s v="109056"/>
    <s v="10022001"/>
    <s v="Building-Others - NIDP"/>
    <s v="0100000018"/>
    <x v="10"/>
    <s v="Civil Works - NIDP D1- DATA CENTER"/>
    <d v="2024-04-04T00:00:00"/>
    <d v="2024-04-04T00:00:00"/>
    <d v="2024-04-04T00:00:00"/>
    <n v="0.24"/>
    <s v="M2"/>
    <n v="194717.01"/>
    <n v="-5805.08"/>
    <n v="188911.93"/>
    <x v="0"/>
  </r>
  <r>
    <s v="109057"/>
    <s v="10022001"/>
    <s v="Building-Others - NIDP"/>
    <s v="0100000018"/>
    <x v="10"/>
    <s v="Steel doors with frame accessories"/>
    <d v="2024-04-04T00:00:00"/>
    <d v="2024-04-04T00:00:00"/>
    <d v="2024-04-04T00:00:00"/>
    <n v="2"/>
    <s v="EA"/>
    <n v="42750"/>
    <n v="-1274.5"/>
    <n v="41475.5"/>
    <x v="0"/>
  </r>
  <r>
    <s v="109058"/>
    <s v="10022001"/>
    <s v="Building-Others - NIDP"/>
    <s v="0100000018"/>
    <x v="10"/>
    <s v="Steel doors with frame accessories"/>
    <d v="2024-04-04T00:00:00"/>
    <d v="2024-04-04T00:00:00"/>
    <d v="2024-04-04T00:00:00"/>
    <n v="9"/>
    <s v="EA"/>
    <n v="334521"/>
    <n v="-9973.0499999999993"/>
    <n v="324547.95"/>
    <x v="0"/>
  </r>
  <r>
    <s v="109059"/>
    <s v="10022001"/>
    <s v="Building-Others - NIDP"/>
    <s v="0100000018"/>
    <x v="10"/>
    <s v="Steel doors with frame accessories"/>
    <d v="2024-04-04T00:00:00"/>
    <d v="2024-04-04T00:00:00"/>
    <d v="2024-04-04T00:00:00"/>
    <n v="8"/>
    <s v="EA"/>
    <n v="314732.73"/>
    <n v="-9383.11"/>
    <n v="305349.62"/>
    <x v="0"/>
  </r>
  <r>
    <s v="109060"/>
    <s v="10022001"/>
    <s v="Building-Others - NIDP"/>
    <s v="0100000018"/>
    <x v="10"/>
    <s v="Steel doors with frame accessories"/>
    <d v="2024-04-04T00:00:00"/>
    <d v="2024-04-04T00:00:00"/>
    <d v="2024-04-04T00:00:00"/>
    <n v="2"/>
    <s v="EA"/>
    <n v="80536"/>
    <n v="-2401.0100000000002"/>
    <n v="78134.990000000005"/>
    <x v="0"/>
  </r>
  <r>
    <s v="109061"/>
    <s v="10022001"/>
    <s v="Building-Others - NIDP"/>
    <s v="0100000018"/>
    <x v="10"/>
    <s v="Steel doors with frame accessories"/>
    <d v="2024-04-04T00:00:00"/>
    <d v="2024-04-04T00:00:00"/>
    <d v="2024-04-04T00:00:00"/>
    <n v="11"/>
    <s v="EA"/>
    <n v="116336"/>
    <n v="-3468.32"/>
    <n v="112867.68"/>
    <x v="0"/>
  </r>
  <r>
    <s v="109062"/>
    <s v="10022001"/>
    <s v="Building-Others - NIDP"/>
    <s v="0100000018"/>
    <x v="10"/>
    <s v="Steel doors with frame accessories"/>
    <d v="2024-04-04T00:00:00"/>
    <d v="2024-04-04T00:00:00"/>
    <d v="2024-04-04T00:00:00"/>
    <n v="1"/>
    <s v="EA"/>
    <n v="19898"/>
    <n v="-593.22"/>
    <n v="19304.78"/>
    <x v="0"/>
  </r>
  <r>
    <s v="109063"/>
    <s v="10023001"/>
    <s v="Switchgear cable connection NIDP"/>
    <s v="0100000019"/>
    <x v="9"/>
    <s v="Supply of Numerical Relay Line Distance with Diff"/>
    <d v="2024-04-04T00:00:00"/>
    <d v="2024-04-04T00:00:00"/>
    <d v="2024-04-04T00:00:00"/>
    <n v="1"/>
    <s v="EA"/>
    <n v="638770.68000000005"/>
    <n v="-30104.89"/>
    <n v="608665.79"/>
    <x v="0"/>
  </r>
  <r>
    <s v="109064"/>
    <s v="10023001"/>
    <s v="Switchgear cable connection NIDP"/>
    <s v="0100000019"/>
    <x v="9"/>
    <s v="Supply of Numerical Relay Line Distance with Diff"/>
    <d v="2024-04-04T00:00:00"/>
    <d v="2024-04-04T00:00:00"/>
    <d v="2024-04-04T00:00:00"/>
    <n v="1"/>
    <s v="EA"/>
    <n v="638770"/>
    <n v="-30104.86"/>
    <n v="608665.14"/>
    <x v="0"/>
  </r>
  <r>
    <s v="109065"/>
    <s v="10023001"/>
    <s v="Switchgear cable connection NIDP"/>
    <s v="0100000019"/>
    <x v="9"/>
    <s v="Supply of MAIN LTAC PAnel With 1000A,4W,50Hz,16KVA"/>
    <d v="2024-04-04T00:00:00"/>
    <d v="2024-04-04T00:00:00"/>
    <d v="2024-04-04T00:00:00"/>
    <n v="1"/>
    <s v="EA"/>
    <n v="396550"/>
    <n v="-18689.169999999998"/>
    <n v="377860.83"/>
    <x v="0"/>
  </r>
  <r>
    <s v="109066"/>
    <s v="10023001"/>
    <s v="Switchgear cable connection NIDP"/>
    <s v="0100000019"/>
    <x v="9"/>
    <s v="Supply of MAIN LTAC PAnel With 1000A,4W,50Hz,16KVA"/>
    <d v="2024-04-04T00:00:00"/>
    <d v="2024-04-04T00:00:00"/>
    <d v="2024-04-04T00:00:00"/>
    <n v="1"/>
    <s v="EA"/>
    <n v="396550"/>
    <n v="-18689.169999999998"/>
    <n v="377860.83"/>
    <x v="0"/>
  </r>
  <r>
    <s v="109067"/>
    <s v="10023001"/>
    <s v="Switchgear cable connection NIDP"/>
    <s v="0100000019"/>
    <x v="9"/>
    <s v="Supply of Numerical Relay Differential Protection"/>
    <d v="2024-04-04T00:00:00"/>
    <d v="2024-04-04T00:00:00"/>
    <d v="2024-04-04T00:00:00"/>
    <n v="1"/>
    <s v="EA"/>
    <n v="660045.14"/>
    <n v="-31107.55"/>
    <n v="628937.59"/>
    <x v="0"/>
  </r>
  <r>
    <s v="109068"/>
    <s v="10023001"/>
    <s v="Switchgear cable connection NIDP"/>
    <s v="0100000019"/>
    <x v="9"/>
    <s v="Supply of Numerical Relay Differential Protection"/>
    <d v="2024-04-04T00:00:00"/>
    <d v="2024-04-04T00:00:00"/>
    <d v="2024-04-04T00:00:00"/>
    <n v="1"/>
    <s v="EA"/>
    <n v="660045.65"/>
    <n v="-31107.57"/>
    <n v="628938.07999999996"/>
    <x v="0"/>
  </r>
  <r>
    <s v="109069"/>
    <s v="10023001"/>
    <s v="Switchgear cable connection NIDP"/>
    <s v="0100000019"/>
    <x v="9"/>
    <s v="Supply of SIEMENS DIGSI 5 SOFTWARE WITH LICENSE at UPPTCL KP5 LINE-2"/>
    <d v="2024-04-04T00:00:00"/>
    <d v="2024-04-04T00:00:00"/>
    <d v="2024-04-04T00:00:00"/>
    <n v="1"/>
    <s v="NOS"/>
    <n v="385000"/>
    <n v="-18144.830000000002"/>
    <n v="366855.17"/>
    <x v="1"/>
  </r>
  <r>
    <s v="109070"/>
    <s v="10023001"/>
    <s v="Switchgear cable connection NIDP"/>
    <s v="0100000019"/>
    <x v="9"/>
    <s v="Supply of SIEMENS DIGSI 5 SOFTWARE WITH LICENSE JALPURA LINE-1 (at NIDP MRSS)"/>
    <d v="2024-04-04T00:00:00"/>
    <d v="2024-04-04T00:00:00"/>
    <d v="2024-04-04T00:00:00"/>
    <n v="1"/>
    <s v="NOS"/>
    <n v="385000"/>
    <n v="-18144.830000000002"/>
    <n v="366855.17"/>
    <x v="0"/>
  </r>
  <r>
    <s v="109071"/>
    <s v="10023001"/>
    <s v="Switchgear cable connection NIDP"/>
    <s v="0100000019"/>
    <x v="9"/>
    <s v="Supply of Numerical Relay Differential Protection"/>
    <d v="2024-04-04T00:00:00"/>
    <d v="2024-04-04T00:00:00"/>
    <d v="2024-04-04T00:00:00"/>
    <n v="1"/>
    <s v="EA"/>
    <n v="660045.65"/>
    <n v="-31107.57"/>
    <n v="628938.07999999996"/>
    <x v="0"/>
  </r>
  <r>
    <s v="109072"/>
    <s v="10023001"/>
    <s v="Switchgear cable connection NIDP"/>
    <s v="0100000019"/>
    <x v="9"/>
    <s v="Relay differential protection relay (87l Supply of"/>
    <d v="2024-04-04T00:00:00"/>
    <d v="2024-04-04T00:00:00"/>
    <d v="2024-04-04T00:00:00"/>
    <n v="1"/>
    <s v="EA"/>
    <n v="851000"/>
    <n v="-40107.14"/>
    <n v="810892.86"/>
    <x v="0"/>
  </r>
  <r>
    <s v="109073"/>
    <s v="10023001"/>
    <s v="Switchgear cable connection NIDP"/>
    <s v="0100000019"/>
    <x v="9"/>
    <s v="Numerical relay line distance with supply of 200AH"/>
    <d v="2024-04-04T00:00:00"/>
    <d v="2024-04-04T00:00:00"/>
    <d v="2024-04-04T00:00:00"/>
    <n v="1"/>
    <s v="EA"/>
    <n v="850000"/>
    <n v="-40060.01"/>
    <n v="809939.99"/>
    <x v="0"/>
  </r>
  <r>
    <s v="109074"/>
    <s v="10023001"/>
    <s v="Switchgear cable connection NIDP"/>
    <s v="0100000019"/>
    <x v="9"/>
    <s v="Finished Panel Assembly"/>
    <d v="2024-04-04T00:00:00"/>
    <d v="2024-04-04T00:00:00"/>
    <d v="2024-04-04T00:00:00"/>
    <n v="2"/>
    <s v="EA"/>
    <n v="3021000"/>
    <n v="-142377.99333333332"/>
    <n v="2878622.0066666664"/>
    <x v="0"/>
  </r>
  <r>
    <s v="109074a"/>
    <m/>
    <m/>
    <m/>
    <x v="9"/>
    <s v="Finished Panel Assembly"/>
    <d v="2024-04-04T00:00:00"/>
    <m/>
    <m/>
    <n v="1"/>
    <s v="EA"/>
    <n v="1510500"/>
    <n v="-71188.996666666659"/>
    <n v="1439311.0033333332"/>
    <x v="1"/>
  </r>
  <r>
    <s v="109075"/>
    <s v="10023001"/>
    <s v="Switchgear cable connection NIDP"/>
    <s v="0100000019"/>
    <x v="9"/>
    <s v="Finished Panel Assembly"/>
    <d v="2024-04-04T00:00:00"/>
    <d v="2024-04-04T00:00:00"/>
    <d v="2024-04-04T00:00:00"/>
    <n v="1"/>
    <s v="EA"/>
    <n v="20000"/>
    <n v="-942.59"/>
    <n v="19057.41"/>
    <x v="0"/>
  </r>
  <r>
    <s v="109076"/>
    <s v="10022001"/>
    <s v="Building-Others - NIDP"/>
    <s v="0100000018"/>
    <x v="10"/>
    <s v="Civil Works - NIDP D1- DATA CENTER"/>
    <d v="2024-04-04T00:00:00"/>
    <d v="2024-04-04T00:00:00"/>
    <d v="2024-04-04T00:00:00"/>
    <n v="0.01"/>
    <s v="M2"/>
    <n v="12266.48"/>
    <n v="-365.7"/>
    <n v="11900.78"/>
    <x v="0"/>
  </r>
  <r>
    <s v="109077"/>
    <s v="10022001"/>
    <s v="Building-Others - NIDP"/>
    <s v="0100000018"/>
    <x v="10"/>
    <s v="Civil Works - NIDP D1- DATA CENTER"/>
    <d v="2024-04-04T00:00:00"/>
    <d v="2024-04-04T00:00:00"/>
    <d v="2024-04-04T00:00:00"/>
    <n v="0.2"/>
    <s v="M2"/>
    <n v="1435630.74"/>
    <n v="-42800.36"/>
    <n v="1392830.38"/>
    <x v="0"/>
  </r>
  <r>
    <s v="109078"/>
    <s v="10022001"/>
    <s v="Building-Others - NIDP"/>
    <s v="0100000018"/>
    <x v="10"/>
    <s v="Civil Works - NIDP D1- DATA CENTER"/>
    <d v="2024-04-04T00:00:00"/>
    <d v="2024-04-04T00:00:00"/>
    <d v="2024-04-04T00:00:00"/>
    <n v="7.0000000000000007E-2"/>
    <s v="M2"/>
    <n v="180923.4"/>
    <n v="-5393.86"/>
    <n v="175529.54"/>
    <x v="0"/>
  </r>
  <r>
    <s v="109079"/>
    <s v="10022001"/>
    <s v="Building-Others - NIDP"/>
    <s v="0100000018"/>
    <x v="10"/>
    <s v="Civil Works - NIDP D1- DATA CENTER"/>
    <d v="2024-04-04T00:00:00"/>
    <d v="2024-04-04T00:00:00"/>
    <d v="2024-04-04T00:00:00"/>
    <n v="0.24"/>
    <s v="M2"/>
    <n v="1454152"/>
    <n v="-43352.53"/>
    <n v="1410799.47"/>
    <x v="0"/>
  </r>
  <r>
    <s v="109080"/>
    <s v="10022001"/>
    <s v="Building-Others - NIDP"/>
    <s v="0100000018"/>
    <x v="10"/>
    <s v="Civil Work"/>
    <d v="2024-04-04T00:00:00"/>
    <d v="2024-04-04T00:00:00"/>
    <d v="2024-04-04T00:00:00"/>
    <n v="0.61"/>
    <s v="M2"/>
    <n v="1711837.29"/>
    <n v="-51034.89"/>
    <n v="1660802.4"/>
    <x v="0"/>
  </r>
  <r>
    <s v="109081"/>
    <s v="10022001"/>
    <s v="Building-Others - NIDP"/>
    <s v="0100000018"/>
    <x v="10"/>
    <s v="Civil Work"/>
    <d v="2024-04-04T00:00:00"/>
    <d v="2024-04-04T00:00:00"/>
    <d v="2024-04-04T00:00:00"/>
    <n v="0.06"/>
    <s v="M2"/>
    <n v="63245.2"/>
    <n v="-1885.52"/>
    <n v="61359.68"/>
    <x v="0"/>
  </r>
  <r>
    <s v="109082"/>
    <s v="10022001"/>
    <s v="Building-Others - NIDP"/>
    <s v="0100000018"/>
    <x v="10"/>
    <s v="Civil Work"/>
    <d v="2024-04-04T00:00:00"/>
    <d v="2024-04-04T00:00:00"/>
    <d v="2024-04-04T00:00:00"/>
    <n v="0.41"/>
    <s v="M2"/>
    <n v="216480"/>
    <n v="-6453.9"/>
    <n v="210026.1"/>
    <x v="0"/>
  </r>
  <r>
    <s v="109083"/>
    <s v="10022001"/>
    <s v="Building-Others - NIDP"/>
    <s v="0100000018"/>
    <x v="10"/>
    <s v="Civil Work"/>
    <d v="2024-04-04T00:00:00"/>
    <d v="2024-04-04T00:00:00"/>
    <d v="2024-04-04T00:00:00"/>
    <n v="0.45"/>
    <s v="M2"/>
    <n v="370782.54"/>
    <n v="-11054.11"/>
    <n v="359728.43"/>
    <x v="0"/>
  </r>
  <r>
    <s v="109084"/>
    <s v="10022001"/>
    <s v="Building-Others - NIDP"/>
    <s v="0100000018"/>
    <x v="10"/>
    <s v="Civil Work"/>
    <d v="2024-04-04T00:00:00"/>
    <d v="2024-04-04T00:00:00"/>
    <d v="2024-04-04T00:00:00"/>
    <n v="0.06"/>
    <s v="M2"/>
    <n v="49490.57"/>
    <n v="-1475.46"/>
    <n v="48015.11"/>
    <x v="0"/>
  </r>
  <r>
    <s v="109085"/>
    <s v="10022001"/>
    <s v="Building-Others - NIDP"/>
    <s v="0100000018"/>
    <x v="10"/>
    <s v="Civil Work"/>
    <d v="2024-04-04T00:00:00"/>
    <d v="2024-04-04T00:00:00"/>
    <d v="2024-04-04T00:00:00"/>
    <n v="0.08"/>
    <s v="M2"/>
    <n v="101052"/>
    <n v="-3012.66"/>
    <n v="98039.34"/>
    <x v="0"/>
  </r>
  <r>
    <s v="109086"/>
    <s v="10022001"/>
    <s v="Building-Others - NIDP"/>
    <s v="0100000018"/>
    <x v="10"/>
    <s v="Civil Work"/>
    <d v="2024-04-04T00:00:00"/>
    <d v="2024-04-04T00:00:00"/>
    <d v="2024-04-04T00:00:00"/>
    <n v="0.12"/>
    <s v="M2"/>
    <n v="861378.44"/>
    <n v="-25680.22"/>
    <n v="835698.22"/>
    <x v="0"/>
  </r>
  <r>
    <s v="109087"/>
    <s v="10022001"/>
    <s v="Building-Others - NIDP"/>
    <s v="0100000018"/>
    <x v="10"/>
    <s v="Civil Work"/>
    <d v="2024-04-04T00:00:00"/>
    <d v="2024-04-04T00:00:00"/>
    <d v="2024-04-04T00:00:00"/>
    <n v="0.13"/>
    <s v="M2"/>
    <n v="336000.6"/>
    <n v="-10017.16"/>
    <n v="325983.44"/>
    <x v="0"/>
  </r>
  <r>
    <s v="109088"/>
    <s v="10022001"/>
    <s v="Building-Others - NIDP"/>
    <s v="0100000018"/>
    <x v="10"/>
    <s v="Civil Work"/>
    <d v="2024-04-04T00:00:00"/>
    <d v="2024-04-04T00:00:00"/>
    <d v="2024-04-04T00:00:00"/>
    <n v="0.09"/>
    <s v="M2"/>
    <n v="549045"/>
    <n v="-16368.64"/>
    <n v="532676.36"/>
    <x v="0"/>
  </r>
  <r>
    <s v="109089"/>
    <s v="10022001"/>
    <s v="Building-Others - NIDP"/>
    <s v="0100000018"/>
    <x v="10"/>
    <s v="Civil Work"/>
    <d v="2024-04-04T00:00:00"/>
    <d v="2024-04-04T00:00:00"/>
    <d v="2024-04-04T00:00:00"/>
    <n v="0.71"/>
    <s v="M2"/>
    <n v="1403226.25"/>
    <n v="-41834.29"/>
    <n v="1361391.96"/>
    <x v="0"/>
  </r>
  <r>
    <s v="109090"/>
    <s v="10022001"/>
    <s v="Building-Others - NIDP"/>
    <s v="0100000018"/>
    <x v="10"/>
    <s v="Civil Work"/>
    <d v="2024-04-04T00:00:00"/>
    <d v="2024-04-04T00:00:00"/>
    <d v="2024-04-04T00:00:00"/>
    <n v="7.0000000000000007E-2"/>
    <s v="M2"/>
    <n v="202806.24"/>
    <n v="-6046.25"/>
    <n v="196759.99"/>
    <x v="0"/>
  </r>
  <r>
    <s v="109091"/>
    <s v="10022001"/>
    <s v="Building-Others - NIDP"/>
    <s v="0100000018"/>
    <x v="10"/>
    <s v="Civil Work"/>
    <d v="2024-04-04T00:00:00"/>
    <d v="2024-04-04T00:00:00"/>
    <d v="2024-04-04T00:00:00"/>
    <n v="0.71"/>
    <s v="M2"/>
    <n v="765573.97"/>
    <n v="-22824"/>
    <n v="742749.97"/>
    <x v="0"/>
  </r>
  <r>
    <s v="109092"/>
    <s v="10022001"/>
    <s v="Building-Others - NIDP"/>
    <s v="0100000018"/>
    <x v="10"/>
    <s v="Civil Work"/>
    <d v="2024-04-04T00:00:00"/>
    <d v="2024-04-04T00:00:00"/>
    <d v="2024-04-04T00:00:00"/>
    <n v="0.86"/>
    <s v="M2"/>
    <n v="362356.79"/>
    <n v="-10802.92"/>
    <n v="351553.87"/>
    <x v="0"/>
  </r>
  <r>
    <s v="109093"/>
    <s v="10022001"/>
    <s v="Building-Others - NIDP"/>
    <s v="0100000018"/>
    <x v="10"/>
    <s v="Civil Work"/>
    <d v="2024-04-04T00:00:00"/>
    <d v="2024-04-04T00:00:00"/>
    <d v="2024-04-04T00:00:00"/>
    <n v="0.52"/>
    <s v="M2"/>
    <n v="319053.8"/>
    <n v="-9511.93"/>
    <n v="309541.87"/>
    <x v="0"/>
  </r>
  <r>
    <s v="109094"/>
    <s v="10022001"/>
    <s v="Building-Others - NIDP"/>
    <s v="0100000018"/>
    <x v="10"/>
    <s v="Civil Work"/>
    <d v="2024-04-04T00:00:00"/>
    <d v="2024-04-04T00:00:00"/>
    <d v="2024-04-04T00:00:00"/>
    <n v="0.04"/>
    <s v="M2"/>
    <n v="21120"/>
    <n v="-629.65"/>
    <n v="20490.349999999999"/>
    <x v="0"/>
  </r>
  <r>
    <s v="109095"/>
    <s v="10022001"/>
    <s v="Building-Others - NIDP"/>
    <s v="0100000018"/>
    <x v="10"/>
    <s v="Civil Work"/>
    <d v="2024-04-04T00:00:00"/>
    <d v="2024-04-04T00:00:00"/>
    <d v="2024-04-04T00:00:00"/>
    <n v="0.28000000000000003"/>
    <s v="M2"/>
    <n v="21135.16"/>
    <n v="-630.1"/>
    <n v="20505.060000000001"/>
    <x v="0"/>
  </r>
  <r>
    <s v="109096"/>
    <s v="10022001"/>
    <s v="Building-Others - NIDP"/>
    <s v="0100000018"/>
    <x v="10"/>
    <s v="Civil Work"/>
    <d v="2024-04-04T00:00:00"/>
    <d v="2024-04-04T00:00:00"/>
    <d v="2024-04-04T00:00:00"/>
    <n v="0.72"/>
    <s v="M2"/>
    <n v="10440"/>
    <n v="-311.25"/>
    <n v="10128.75"/>
    <x v="0"/>
  </r>
  <r>
    <s v="109097"/>
    <s v="10022001"/>
    <s v="Building-Others - NIDP"/>
    <s v="0100000018"/>
    <x v="10"/>
    <s v="Civil Work"/>
    <d v="2024-04-04T00:00:00"/>
    <d v="2024-04-04T00:00:00"/>
    <d v="2024-04-04T00:00:00"/>
    <n v="0.15"/>
    <s v="M2"/>
    <n v="125816.1"/>
    <n v="-3750.95"/>
    <n v="122065.15"/>
    <x v="0"/>
  </r>
  <r>
    <s v="109098"/>
    <s v="10022001"/>
    <s v="Building-Others - NIDP"/>
    <s v="0100000018"/>
    <x v="10"/>
    <s v="Civil Work"/>
    <d v="2024-04-04T00:00:00"/>
    <d v="2024-04-04T00:00:00"/>
    <d v="2024-04-04T00:00:00"/>
    <n v="0.09"/>
    <s v="M2"/>
    <n v="77186.14"/>
    <n v="-2301.15"/>
    <n v="74884.990000000005"/>
    <x v="0"/>
  </r>
  <r>
    <s v="109099"/>
    <s v="10022001"/>
    <s v="Building-Others - NIDP"/>
    <s v="0100000018"/>
    <x v="10"/>
    <s v="Civil Work"/>
    <d v="2024-04-04T00:00:00"/>
    <d v="2024-04-04T00:00:00"/>
    <d v="2024-04-04T00:00:00"/>
    <n v="0.04"/>
    <s v="M2"/>
    <n v="50268.05"/>
    <n v="-1498.64"/>
    <n v="48769.41"/>
    <x v="0"/>
  </r>
  <r>
    <s v="109100"/>
    <s v="10022001"/>
    <s v="Building-Others - NIDP"/>
    <s v="0100000018"/>
    <x v="10"/>
    <s v="Civil Work"/>
    <d v="2024-04-04T00:00:00"/>
    <d v="2024-04-04T00:00:00"/>
    <d v="2024-04-04T00:00:00"/>
    <n v="0.35"/>
    <s v="M2"/>
    <n v="2538127.4"/>
    <n v="-75669.02"/>
    <n v="2462458.38"/>
    <x v="0"/>
  </r>
  <r>
    <s v="109101"/>
    <s v="10022001"/>
    <s v="Building-Others - NIDP"/>
    <s v="0100000018"/>
    <x v="10"/>
    <s v="Civil Work"/>
    <d v="2024-04-04T00:00:00"/>
    <d v="2024-04-04T00:00:00"/>
    <d v="2024-04-04T00:00:00"/>
    <n v="0.24"/>
    <s v="M2"/>
    <n v="630647.28"/>
    <n v="-18801.439999999999"/>
    <n v="611845.84"/>
    <x v="0"/>
  </r>
  <r>
    <s v="109102"/>
    <s v="10022001"/>
    <s v="Building-Others - NIDP"/>
    <s v="0100000018"/>
    <x v="10"/>
    <s v="Civil Work"/>
    <d v="2024-04-04T00:00:00"/>
    <d v="2024-04-04T00:00:00"/>
    <d v="2024-04-04T00:00:00"/>
    <n v="0.1"/>
    <s v="M2"/>
    <n v="628351.5"/>
    <n v="-18733"/>
    <n v="609618.5"/>
    <x v="0"/>
  </r>
  <r>
    <s v="109103"/>
    <s v="10022001"/>
    <s v="Building-Others - NIDP"/>
    <s v="0100000018"/>
    <x v="10"/>
    <s v="Civil Work"/>
    <d v="2024-04-04T00:00:00"/>
    <d v="2024-04-04T00:00:00"/>
    <d v="2024-04-04T00:00:00"/>
    <n v="0.05"/>
    <s v="M2"/>
    <n v="136169.9"/>
    <n v="-4059.62"/>
    <n v="132110.28"/>
    <x v="0"/>
  </r>
  <r>
    <s v="109104"/>
    <s v="10022001"/>
    <s v="Building-Others - NIDP"/>
    <s v="0100000018"/>
    <x v="10"/>
    <s v="Civil Work"/>
    <d v="2024-04-04T00:00:00"/>
    <d v="2024-04-04T00:00:00"/>
    <d v="2024-04-04T00:00:00"/>
    <n v="0.62"/>
    <s v="M2"/>
    <n v="671764.2"/>
    <n v="-20027.259999999998"/>
    <n v="651736.93999999994"/>
    <x v="0"/>
  </r>
  <r>
    <s v="109105"/>
    <s v="10022001"/>
    <s v="Building-Others - NIDP"/>
    <s v="0100000018"/>
    <x v="10"/>
    <s v="Civil Work"/>
    <d v="2024-04-04T00:00:00"/>
    <d v="2024-04-04T00:00:00"/>
    <d v="2024-04-04T00:00:00"/>
    <n v="0.52"/>
    <s v="M2"/>
    <n v="217414.07"/>
    <n v="-6481.75"/>
    <n v="210932.32"/>
    <x v="0"/>
  </r>
  <r>
    <s v="109106"/>
    <s v="10022001"/>
    <s v="Building-Others - NIDP"/>
    <s v="0100000018"/>
    <x v="10"/>
    <s v="Civil Work"/>
    <d v="2024-04-04T00:00:00"/>
    <d v="2024-04-04T00:00:00"/>
    <d v="2024-04-04T00:00:00"/>
    <n v="0.12"/>
    <s v="M2"/>
    <n v="72400.67"/>
    <n v="-2158.48"/>
    <n v="70242.19"/>
    <x v="0"/>
  </r>
  <r>
    <s v="109107"/>
    <s v="10022001"/>
    <s v="Building-Others - NIDP"/>
    <s v="0100000018"/>
    <x v="10"/>
    <s v="Civil Work"/>
    <d v="2024-04-04T00:00:00"/>
    <d v="2024-04-04T00:00:00"/>
    <d v="2024-04-04T00:00:00"/>
    <n v="0.05"/>
    <s v="M2"/>
    <n v="3774.14"/>
    <n v="-112.52"/>
    <n v="3661.62"/>
    <x v="0"/>
  </r>
  <r>
    <s v="109108"/>
    <s v="10022001"/>
    <s v="Building-Others - NIDP"/>
    <s v="0100000018"/>
    <x v="10"/>
    <s v="Civil Work"/>
    <d v="2024-04-04T00:00:00"/>
    <d v="2024-04-04T00:00:00"/>
    <d v="2024-04-04T00:00:00"/>
    <n v="0.28999999999999998"/>
    <s v="M2"/>
    <n v="244968.12"/>
    <n v="-7303.22"/>
    <n v="237664.9"/>
    <x v="0"/>
  </r>
  <r>
    <s v="109109"/>
    <s v="10022001"/>
    <s v="Building-Others - NIDP"/>
    <s v="0100000018"/>
    <x v="10"/>
    <s v="Civil Work"/>
    <d v="2024-04-04T00:00:00"/>
    <d v="2024-04-04T00:00:00"/>
    <d v="2024-04-04T00:00:00"/>
    <n v="0.66"/>
    <s v="M2"/>
    <n v="9570"/>
    <n v="-285.31"/>
    <n v="9284.69"/>
    <x v="0"/>
  </r>
  <r>
    <s v="109110"/>
    <s v="10022001"/>
    <s v="Building-Others - NIDP"/>
    <s v="0100000018"/>
    <x v="10"/>
    <s v="CIVIL WORKS-"/>
    <d v="2024-04-04T00:00:00"/>
    <d v="2024-04-04T00:00:00"/>
    <d v="2024-04-04T00:00:00"/>
    <n v="1"/>
    <s v="M2"/>
    <n v="1622.64"/>
    <n v="-48.38"/>
    <n v="1574.26"/>
    <x v="0"/>
  </r>
  <r>
    <s v="109111"/>
    <s v="10022001"/>
    <s v="Building-Others - NIDP"/>
    <s v="0100000018"/>
    <x v="10"/>
    <s v="CIVIL WORKS-"/>
    <d v="2024-04-04T00:00:00"/>
    <d v="2024-04-04T00:00:00"/>
    <d v="2024-04-04T00:00:00"/>
    <n v="0.03"/>
    <s v="M2"/>
    <n v="35532.6"/>
    <n v="-1059.33"/>
    <n v="34473.269999999997"/>
    <x v="0"/>
  </r>
  <r>
    <s v="109112"/>
    <s v="10022001"/>
    <s v="Building-Others - NIDP"/>
    <s v="0100000018"/>
    <x v="10"/>
    <s v="CIVIL WORKS-"/>
    <d v="2024-04-04T00:00:00"/>
    <d v="2024-04-04T00:00:00"/>
    <d v="2024-04-04T00:00:00"/>
    <n v="0.06"/>
    <s v="M2"/>
    <n v="394008.45"/>
    <n v="-11746.55"/>
    <n v="382261.9"/>
    <x v="0"/>
  </r>
  <r>
    <s v="109113"/>
    <s v="10022001"/>
    <s v="Building-Others - NIDP"/>
    <s v="0100000018"/>
    <x v="10"/>
    <s v="CIVIL WORKS-"/>
    <d v="2024-04-04T00:00:00"/>
    <d v="2024-04-04T00:00:00"/>
    <d v="2024-04-04T00:00:00"/>
    <n v="0.05"/>
    <s v="M2"/>
    <n v="124061.75999999999"/>
    <n v="-3698.64"/>
    <n v="120363.12"/>
    <x v="0"/>
  </r>
  <r>
    <s v="109114"/>
    <s v="10022001"/>
    <s v="Building-Others - NIDP"/>
    <s v="0100000018"/>
    <x v="10"/>
    <s v="CIVIL WORKS-"/>
    <d v="2024-04-04T00:00:00"/>
    <d v="2024-04-04T00:00:00"/>
    <d v="2024-04-04T00:00:00"/>
    <n v="0.09"/>
    <s v="M2"/>
    <n v="462435.5"/>
    <n v="-13786.56"/>
    <n v="448648.94"/>
    <x v="0"/>
  </r>
  <r>
    <s v="109115"/>
    <s v="10022001"/>
    <s v="Building-Others - NIDP"/>
    <s v="0100000018"/>
    <x v="10"/>
    <s v="Inst Work of 220 KV Substation"/>
    <d v="2024-04-04T00:00:00"/>
    <d v="2024-04-04T00:00:00"/>
    <d v="2024-04-04T00:00:00"/>
    <n v="24"/>
    <s v="EA"/>
    <n v="303144"/>
    <n v="-9037.61"/>
    <n v="294106.39"/>
    <x v="0"/>
  </r>
  <r>
    <s v="109116"/>
    <s v="10022001"/>
    <s v="Building-Others - NIDP"/>
    <s v="0100000018"/>
    <x v="10"/>
    <s v="Inst Work of 220 KV Substation"/>
    <d v="2024-04-04T00:00:00"/>
    <d v="2024-04-04T00:00:00"/>
    <d v="2024-04-04T00:00:00"/>
    <n v="8"/>
    <s v="EA"/>
    <n v="101048"/>
    <n v="-3012.54"/>
    <n v="98035.46"/>
    <x v="1"/>
  </r>
  <r>
    <s v="109117"/>
    <s v="10023001"/>
    <s v="Switchgear cable connection NIDP"/>
    <s v="0100000019"/>
    <x v="9"/>
    <s v="Inst of outdoor type double break center post, rot"/>
    <d v="2024-04-04T00:00:00"/>
    <d v="2024-04-04T00:00:00"/>
    <d v="2024-04-04T00:00:00"/>
    <n v="10"/>
    <s v="EA"/>
    <n v="126310"/>
    <n v="-5952.9142857142861"/>
    <n v="120357.08571428573"/>
    <x v="1"/>
  </r>
  <r>
    <s v="109117"/>
    <m/>
    <m/>
    <m/>
    <x v="9"/>
    <s v="Inst of outdoor type double break center post, rot"/>
    <d v="2024-04-04T00:00:00"/>
    <m/>
    <m/>
    <n v="2"/>
    <s v="EA"/>
    <n v="25262"/>
    <n v="-1190.5828571428572"/>
    <n v="24071.417142857146"/>
    <x v="1"/>
  </r>
  <r>
    <s v="109117"/>
    <m/>
    <m/>
    <m/>
    <x v="9"/>
    <s v="Inst of outdoor type double break center post, rot"/>
    <d v="2024-04-04T00:00:00"/>
    <m/>
    <m/>
    <n v="2"/>
    <s v="EA"/>
    <n v="25262"/>
    <n v="-1190.5828571428572"/>
    <n v="24071.417142857146"/>
    <x v="0"/>
  </r>
  <r>
    <s v="109118"/>
    <s v="10023001"/>
    <s v="Switchgear cable connection NIDP"/>
    <s v="0100000019"/>
    <x v="9"/>
    <s v="Inst of outdoor type double break center post, rot"/>
    <d v="2024-04-04T00:00:00"/>
    <d v="2024-04-04T00:00:00"/>
    <d v="2024-04-04T00:00:00"/>
    <n v="2"/>
    <s v="EA"/>
    <n v="25262"/>
    <n v="-1190.58"/>
    <n v="24071.42"/>
    <x v="0"/>
  </r>
  <r>
    <s v="109119"/>
    <s v="10023001"/>
    <s v="Switchgear cable connection NIDP"/>
    <s v="0100000019"/>
    <x v="9"/>
    <s v="Inst of 220kv, 1250 A, 40KA, for 3 sec , pole oper for Bus coupler bay"/>
    <d v="2024-04-04T00:00:00"/>
    <d v="2024-04-04T00:00:00"/>
    <d v="2024-04-04T00:00:00"/>
    <n v="1"/>
    <s v="EA"/>
    <n v="12631.44"/>
    <n v="-595.30999999999995"/>
    <n v="12036.13"/>
    <x v="0"/>
  </r>
  <r>
    <s v="109120"/>
    <s v="10023001"/>
    <s v="Switchgear cable connection NIDP"/>
    <s v="0100000019"/>
    <x v="9"/>
    <s v="Inst of 220kv, 6 KN Bus Post Insulator"/>
    <d v="2024-04-04T00:00:00"/>
    <d v="2024-04-04T00:00:00"/>
    <d v="2024-04-04T00:00:00"/>
    <n v="0.9"/>
    <s v="EA"/>
    <n v="49280.4"/>
    <n v="-2322.56"/>
    <n v="46957.84"/>
    <x v="0"/>
  </r>
  <r>
    <s v="109121"/>
    <s v="10023001"/>
    <s v="Switchgear cable connection NIDP"/>
    <s v="0100000019"/>
    <x v="9"/>
    <s v="Inst of ACSR Conductor"/>
    <d v="2024-04-04T00:00:00"/>
    <d v="2024-04-04T00:00:00"/>
    <d v="2024-04-04T00:00:00"/>
    <n v="0.7"/>
    <s v="EA"/>
    <n v="221060"/>
    <n v="-10418.43"/>
    <n v="210641.57"/>
    <x v="0"/>
  </r>
  <r>
    <s v="109122"/>
    <s v="10023001"/>
    <s v="Switchgear cable connection NIDP"/>
    <s v="0100000019"/>
    <x v="9"/>
    <s v="Installtion of string insulators"/>
    <d v="2024-04-04T00:00:00"/>
    <d v="2024-04-04T00:00:00"/>
    <d v="2024-04-04T00:00:00"/>
    <n v="1"/>
    <s v="EA"/>
    <n v="26300"/>
    <n v="-1239.5"/>
    <n v="25060.5"/>
    <x v="0"/>
  </r>
  <r>
    <s v="109123"/>
    <s v="10023001"/>
    <s v="Switchgear cable connection NIDP"/>
    <s v="0100000019"/>
    <x v="9"/>
    <s v="Inst of galvanised steel structure for equipment s"/>
    <d v="2024-04-04T00:00:00"/>
    <d v="2024-04-04T00:00:00"/>
    <d v="2024-04-04T00:00:00"/>
    <n v="0.6"/>
    <s v="EA"/>
    <n v="1624080"/>
    <n v="-76541.960000000006"/>
    <n v="1547538.04"/>
    <x v="0"/>
  </r>
  <r>
    <s v="109124"/>
    <s v="10023001"/>
    <s v="Switchgear cable connection NIDP"/>
    <s v="0100000019"/>
    <x v="9"/>
    <s v="Inst of clamps &amp; connectors for switchyard equipm"/>
    <d v="2024-04-04T00:00:00"/>
    <d v="2024-04-04T00:00:00"/>
    <d v="2024-04-04T00:00:00"/>
    <n v="0.7"/>
    <s v="EA"/>
    <n v="14770"/>
    <n v="-696.1"/>
    <n v="14073.9"/>
    <x v="0"/>
  </r>
  <r>
    <s v="109125"/>
    <s v="10023001"/>
    <s v="Switchgear cable connection NIDP"/>
    <s v="0100000019"/>
    <x v="9"/>
    <s v="Inst of relay panel for line protection"/>
    <d v="2024-04-04T00:00:00"/>
    <d v="2024-04-04T00:00:00"/>
    <d v="2024-04-04T00:00:00"/>
    <n v="2"/>
    <s v="EA"/>
    <n v="21000"/>
    <n v="-989.72"/>
    <n v="20010.28"/>
    <x v="0"/>
  </r>
  <r>
    <s v="109126"/>
    <s v="10023001"/>
    <s v="Switchgear cable connection NIDP"/>
    <s v="0100000019"/>
    <x v="9"/>
    <s v="Inst of relay panel for Transfomer protection"/>
    <d v="2024-04-04T00:00:00"/>
    <d v="2024-04-04T00:00:00"/>
    <d v="2024-04-04T00:00:00"/>
    <n v="2"/>
    <s v="EA"/>
    <n v="21000"/>
    <n v="-989.71749999999997"/>
    <n v="20010.282500000001"/>
    <x v="0"/>
  </r>
  <r>
    <s v="109126a"/>
    <m/>
    <m/>
    <m/>
    <x v="9"/>
    <s v="Inst of relay panel for Transfomer protection"/>
    <d v="2024-04-04T00:00:00"/>
    <m/>
    <m/>
    <n v="1"/>
    <s v="EA"/>
    <n v="10500"/>
    <n v="-494.85874999999999"/>
    <n v="10005.141250000001"/>
    <x v="1"/>
  </r>
  <r>
    <s v="109126b"/>
    <m/>
    <m/>
    <m/>
    <x v="9"/>
    <s v="Inst of relay panel for Transfomer protection"/>
    <d v="2024-04-04T00:00:00"/>
    <m/>
    <m/>
    <n v="5"/>
    <s v="EA"/>
    <n v="52500"/>
    <n v="-2474.2937499999998"/>
    <n v="50025.706250000003"/>
    <x v="1"/>
  </r>
  <r>
    <s v="109127"/>
    <s v="10023001"/>
    <s v="Switchgear cable connection NIDP"/>
    <s v="0100000019"/>
    <x v="9"/>
    <s v="Inst of relay panel for Bus Coupler protection"/>
    <d v="2024-04-04T00:00:00"/>
    <d v="2024-04-04T00:00:00"/>
    <d v="2024-04-04T00:00:00"/>
    <n v="1"/>
    <s v="EA"/>
    <n v="10500.34"/>
    <n v="-494.88"/>
    <n v="10005.459999999999"/>
    <x v="0"/>
  </r>
  <r>
    <s v="109128"/>
    <s v="10023001"/>
    <s v="Switchgear cable connection NIDP"/>
    <s v="0100000019"/>
    <x v="9"/>
    <s v="Inst of relay panel for Centralized BUSBAR  protection"/>
    <d v="2024-04-04T00:00:00"/>
    <d v="2024-04-04T00:00:00"/>
    <d v="2024-04-04T00:00:00"/>
    <n v="1"/>
    <s v="EA"/>
    <n v="10500"/>
    <n v="-494.86"/>
    <n v="10005.14"/>
    <x v="0"/>
  </r>
  <r>
    <s v="109129"/>
    <s v="10023001"/>
    <s v="Switchgear cable connection NIDP"/>
    <s v="0100000019"/>
    <x v="9"/>
    <s v="Inst of 415V ACDB for yard axilliary load "/>
    <d v="2024-04-04T00:00:00"/>
    <d v="2024-04-04T00:00:00"/>
    <d v="2024-04-04T00:00:00"/>
    <n v="5"/>
    <s v="EA"/>
    <n v="8000"/>
    <n v="-377.0363636363636"/>
    <n v="7622.9636363636373"/>
    <x v="0"/>
  </r>
  <r>
    <s v="109129a"/>
    <m/>
    <m/>
    <m/>
    <x v="9"/>
    <s v="Inst of 415V ACDB for yard axilliary load "/>
    <d v="2024-04-04T00:00:00"/>
    <m/>
    <m/>
    <n v="1"/>
    <s v="EA"/>
    <n v="1600"/>
    <n v="-75.407272727272726"/>
    <n v="1524.5927272727274"/>
    <x v="1"/>
  </r>
  <r>
    <s v="109129b"/>
    <m/>
    <m/>
    <m/>
    <x v="9"/>
    <s v="Inst of 415V ACDB for yard axilliary load "/>
    <d v="2024-04-04T00:00:00"/>
    <m/>
    <m/>
    <n v="5"/>
    <s v="EA"/>
    <n v="8000"/>
    <n v="-377.0363636363636"/>
    <n v="7622.9636363636373"/>
    <x v="1"/>
  </r>
  <r>
    <s v="109130"/>
    <s v="10023001"/>
    <s v="Switchgear cable connection NIDP"/>
    <s v="0100000019"/>
    <x v="9"/>
    <s v="Inst of 415V ACDB for yard axilliary load (5KVA UPS With 220V DC Power Pack with 1Hour Beak up)"/>
    <d v="2024-04-04T00:00:00"/>
    <d v="2024-04-04T00:00:00"/>
    <d v="2024-04-04T00:00:00"/>
    <n v="5"/>
    <s v="EA"/>
    <n v="8000"/>
    <n v="-377.0363636363636"/>
    <n v="7622.9636363636373"/>
    <x v="0"/>
  </r>
  <r>
    <s v="109130a"/>
    <m/>
    <m/>
    <m/>
    <x v="9"/>
    <s v="Inst of 415V ACDB for yard axilliary load (5KVA UPS With 220V DC Power Pack with 1Hour Beak up)"/>
    <d v="2024-04-04T00:00:00"/>
    <m/>
    <m/>
    <n v="1"/>
    <s v="EA"/>
    <n v="1600"/>
    <n v="-75.407272727272726"/>
    <n v="1524.5927272727274"/>
    <x v="1"/>
  </r>
  <r>
    <s v="109130b"/>
    <m/>
    <m/>
    <m/>
    <x v="9"/>
    <s v="Inst of 415V ACDB for yard axilliary load (5KVA UPS With 220V DC Power Pack with 1Hour Beak up)"/>
    <d v="2024-04-04T00:00:00"/>
    <m/>
    <m/>
    <n v="5"/>
    <s v="EA"/>
    <n v="8000"/>
    <n v="-377.0363636363636"/>
    <n v="7622.9636363636373"/>
    <x v="1"/>
  </r>
  <r>
    <s v="109131"/>
    <s v="10023001"/>
    <s v="Switchgear cable connection NIDP"/>
    <s v="0100000019"/>
    <x v="9"/>
    <s v="Inst of FRP Cable tray along with SS Heardwear sup"/>
    <d v="2024-04-04T00:00:00"/>
    <d v="2024-04-04T00:00:00"/>
    <d v="2024-04-04T00:00:00"/>
    <n v="0.45454545454545453"/>
    <s v="EA"/>
    <n v="64000"/>
    <n v="-3016.2818181818179"/>
    <n v="60983.718181818171"/>
    <x v="0"/>
  </r>
  <r>
    <s v="109131a"/>
    <m/>
    <m/>
    <m/>
    <x v="9"/>
    <s v="Inst of FRP Cable tray along with SS Heardwear sup"/>
    <d v="2024-04-04T00:00:00"/>
    <m/>
    <m/>
    <n v="9.0909090909090912E-2"/>
    <s v="EA"/>
    <n v="12800"/>
    <n v="-603.25636363636363"/>
    <n v="12196.743636363635"/>
    <x v="1"/>
  </r>
  <r>
    <s v="109131b"/>
    <m/>
    <m/>
    <m/>
    <x v="9"/>
    <s v="Inst of FRP Cable tray along with SS Heardwear sup"/>
    <d v="2024-04-04T00:00:00"/>
    <m/>
    <m/>
    <n v="0.45454545454545453"/>
    <s v="EA"/>
    <n v="64000"/>
    <n v="-3016.2818181818179"/>
    <n v="60983.718181818171"/>
    <x v="1"/>
  </r>
  <r>
    <s v="109132"/>
    <s v="10023001"/>
    <s v="Switchgear cable connection NIDP"/>
    <s v="0100000019"/>
    <x v="9"/>
    <s v="Inst of 220KV Bay Marshalling Kisok"/>
    <d v="2024-04-04T00:00:00"/>
    <d v="2024-04-04T00:00:00"/>
    <d v="2024-04-04T00:00:00"/>
    <n v="5"/>
    <s v="EA"/>
    <n v="26500"/>
    <n v="-1248.9318181818182"/>
    <n v="25251.06818181818"/>
    <x v="0"/>
  </r>
  <r>
    <s v="109132a"/>
    <m/>
    <m/>
    <m/>
    <x v="9"/>
    <s v="Inst of 220KV Bay Marshalling Kisok"/>
    <d v="2024-04-04T00:00:00"/>
    <m/>
    <m/>
    <n v="1"/>
    <s v="EA"/>
    <n v="5300"/>
    <n v="-249.78636363636363"/>
    <n v="5050.2136363636364"/>
    <x v="1"/>
  </r>
  <r>
    <s v="109132b"/>
    <m/>
    <m/>
    <m/>
    <x v="9"/>
    <s v="Inst of 220KV Bay Marshalling Kisok"/>
    <d v="2024-04-04T00:00:00"/>
    <m/>
    <m/>
    <n v="5"/>
    <s v="EA"/>
    <n v="26500"/>
    <n v="-1248.9318181818182"/>
    <n v="25251.06818181818"/>
    <x v="1"/>
  </r>
  <r>
    <s v="109133"/>
    <s v="10023001"/>
    <s v="Switchgear cable connection NIDP"/>
    <s v="0100000019"/>
    <x v="9"/>
    <s v="Junction box for 220 KV CT suitable for outdoor in"/>
    <d v="2024-04-04T00:00:00"/>
    <d v="2024-04-04T00:00:00"/>
    <d v="2024-04-04T00:00:00"/>
    <n v="5"/>
    <s v="EA"/>
    <n v="16000"/>
    <n v="-1248.9318181818182"/>
    <n v="15245.927272727275"/>
    <x v="0"/>
  </r>
  <r>
    <s v="109133a"/>
    <m/>
    <m/>
    <m/>
    <x v="9"/>
    <s v="Junction box for 220 KV CT suitable for outdoor in"/>
    <d v="2024-04-04T00:00:00"/>
    <m/>
    <m/>
    <n v="1"/>
    <s v="EA"/>
    <n v="3200"/>
    <n v="-150.81454545454545"/>
    <n v="3049.1854545454548"/>
    <x v="1"/>
  </r>
  <r>
    <s v="109133b"/>
    <m/>
    <m/>
    <m/>
    <x v="9"/>
    <s v="Junction box for 220 KV CT suitable for outdoor in"/>
    <d v="2024-04-04T00:00:00"/>
    <m/>
    <m/>
    <n v="5"/>
    <s v="EA"/>
    <n v="16000"/>
    <n v="-754.07272727272721"/>
    <n v="15245.927272727275"/>
    <x v="1"/>
  </r>
  <r>
    <s v="109134"/>
    <s v="10023001"/>
    <s v="Switchgear cable connection NIDP"/>
    <s v="0100000019"/>
    <x v="9"/>
    <s v="Junction box for 220 kv suitalble for outdoor inst for CVT/PT for Line and Bus coupler bay"/>
    <d v="2024-04-04T00:00:00"/>
    <d v="2024-04-04T00:00:00"/>
    <d v="2024-04-04T00:00:00"/>
    <n v="4"/>
    <s v="EA"/>
    <n v="12800"/>
    <n v="-603.26"/>
    <n v="12196.74"/>
    <x v="0"/>
  </r>
  <r>
    <s v="109135"/>
    <s v="10023001"/>
    <s v="Switchgear cable connection NIDP"/>
    <s v="0100000019"/>
    <x v="9"/>
    <s v="Inst of Galvanised Steel Structure for Equipments"/>
    <d v="2024-04-04T00:00:00"/>
    <d v="2024-04-04T00:00:00"/>
    <d v="2024-04-04T00:00:00"/>
    <n v="0.4"/>
    <s v="EA"/>
    <n v="1082720"/>
    <n v="-51027.97"/>
    <n v="1031692.03"/>
    <x v="1"/>
  </r>
  <r>
    <s v="109136"/>
    <s v="10023001"/>
    <s v="Switchgear cable connection NIDP"/>
    <s v="0100000019"/>
    <x v="9"/>
    <s v="Inst of clamps &amp; Connectors for switchyard equipm"/>
    <d v="2024-04-04T00:00:00"/>
    <d v="2024-04-04T00:00:00"/>
    <d v="2024-04-04T00:00:00"/>
    <n v="0.3"/>
    <s v="EA"/>
    <n v="6330"/>
    <n v="-298.33"/>
    <n v="6031.67"/>
    <x v="1"/>
  </r>
  <r>
    <s v="109137"/>
    <s v="10023001"/>
    <s v="Switchgear cable connection NIDP"/>
    <s v="0100000019"/>
    <x v="9"/>
    <s v="Laying of LT power &amp; control cables with suitable"/>
    <d v="2024-04-04T00:00:00"/>
    <d v="2024-04-04T00:00:00"/>
    <d v="2024-04-04T00:00:00"/>
    <n v="1"/>
    <s v="EA"/>
    <n v="121100"/>
    <n v="-5707.37"/>
    <n v="115392.63"/>
    <x v="0"/>
  </r>
  <r>
    <s v="109138"/>
    <s v="10023001"/>
    <s v="Switchgear cable connection NIDP"/>
    <s v="0100000019"/>
    <x v="9"/>
    <s v="Inst of 220KV, 6 kn bus post insulator (BPI)"/>
    <d v="2024-04-04T00:00:00"/>
    <d v="2024-04-04T00:00:00"/>
    <d v="2024-04-04T00:00:00"/>
    <n v="0.1"/>
    <s v="EA"/>
    <n v="5445.16"/>
    <n v="-256.63"/>
    <n v="5188.53"/>
    <x v="0"/>
  </r>
  <r>
    <s v="109139"/>
    <s v="10023001"/>
    <s v="Switchgear cable connection NIDP"/>
    <s v="0100000019"/>
    <x v="9"/>
    <s v="Inst , testing and comm 11kvHT PANEL - 2 (Inst)"/>
    <d v="2024-04-04T00:00:00"/>
    <d v="2024-04-04T00:00:00"/>
    <d v="2024-04-04T00:00:00"/>
    <n v="1"/>
    <s v="EA"/>
    <n v="125000"/>
    <n v="-5891.18"/>
    <n v="119108.82"/>
    <x v="1"/>
  </r>
  <r>
    <s v="109140"/>
    <s v="10023001"/>
    <s v="Switchgear cable connection NIDP"/>
    <s v="0100000019"/>
    <x v="9"/>
    <s v="Inst testing, commissioning 11kv-HT panel-standby-"/>
    <d v="2024-04-04T00:00:00"/>
    <d v="2024-04-04T00:00:00"/>
    <d v="2024-04-04T00:00:00"/>
    <n v="1"/>
    <s v="EA"/>
    <n v="250000"/>
    <n v="-11782.36"/>
    <n v="238217.64"/>
    <x v="0"/>
  </r>
  <r>
    <s v="109141"/>
    <s v="10022001"/>
    <s v="Building-Others - NIDP"/>
    <s v="0100000018"/>
    <x v="10"/>
    <s v="CIVIL WORKS-"/>
    <d v="2024-04-04T00:00:00"/>
    <d v="2024-04-04T00:00:00"/>
    <d v="2024-04-04T00:00:00"/>
    <n v="0.09"/>
    <s v="M2"/>
    <n v="185779.25"/>
    <n v="-5538.62"/>
    <n v="180240.63"/>
    <x v="0"/>
  </r>
  <r>
    <s v="109142"/>
    <s v="10022001"/>
    <s v="Building-Others - NIDP"/>
    <s v="0100000018"/>
    <x v="10"/>
    <s v="CIVIL WORKS-"/>
    <d v="2024-04-04T00:00:00"/>
    <d v="2024-04-04T00:00:00"/>
    <d v="2024-04-04T00:00:00"/>
    <n v="0.01"/>
    <s v="M2"/>
    <n v="3370.76"/>
    <n v="-100.49"/>
    <n v="3270.27"/>
    <x v="0"/>
  </r>
  <r>
    <s v="109143"/>
    <s v="10022001"/>
    <s v="Building-Others - NIDP"/>
    <s v="0100000018"/>
    <x v="10"/>
    <s v="CIVIL WORKS-"/>
    <d v="2024-04-04T00:00:00"/>
    <d v="2024-04-04T00:00:00"/>
    <d v="2024-04-04T00:00:00"/>
    <n v="0.53"/>
    <s v="M2"/>
    <n v="326416.58"/>
    <n v="-9731.44"/>
    <n v="316685.14"/>
    <x v="0"/>
  </r>
  <r>
    <s v="109144"/>
    <s v="10022001"/>
    <s v="Building-Others - NIDP"/>
    <s v="0100000018"/>
    <x v="10"/>
    <s v="CIVIL WORKS-"/>
    <d v="2024-04-04T00:00:00"/>
    <d v="2024-04-04T00:00:00"/>
    <d v="2024-04-04T00:00:00"/>
    <n v="1"/>
    <s v="M2"/>
    <n v="11588.93"/>
    <n v="-345.5"/>
    <n v="11243.43"/>
    <x v="0"/>
  </r>
  <r>
    <s v="109145"/>
    <s v="10022001"/>
    <s v="Building-Others - NIDP"/>
    <s v="0100000018"/>
    <x v="10"/>
    <s v="CIVIL WORKS-"/>
    <d v="2024-04-04T00:00:00"/>
    <d v="2024-04-04T00:00:00"/>
    <d v="2024-04-04T00:00:00"/>
    <n v="0.04"/>
    <s v="M2"/>
    <n v="40974.379999999997"/>
    <n v="-1221.57"/>
    <n v="39752.81"/>
    <x v="0"/>
  </r>
  <r>
    <s v="109146"/>
    <s v="10022001"/>
    <s v="Building-Others - NIDP"/>
    <s v="0100000018"/>
    <x v="10"/>
    <s v="Civil Works Granular sub base Providing and laying"/>
    <d v="2024-04-04T00:00:00"/>
    <d v="2024-04-04T00:00:00"/>
    <d v="2024-04-04T00:00:00"/>
    <n v="247.8"/>
    <s v="M3"/>
    <n v="718620.2"/>
    <n v="-21424.17"/>
    <n v="697196.03"/>
    <x v="0"/>
  </r>
  <r>
    <s v="109147"/>
    <s v="10022001"/>
    <s v="Building-Others - NIDP"/>
    <s v="0100000018"/>
    <x v="10"/>
    <s v="Civil Works"/>
    <d v="2024-04-04T00:00:00"/>
    <d v="2024-04-04T00:00:00"/>
    <d v="2024-04-04T00:00:00"/>
    <n v="267.12"/>
    <s v="M3"/>
    <n v="2030112"/>
    <n v="-60523.59"/>
    <n v="1969588.41"/>
    <x v="0"/>
  </r>
  <r>
    <s v="109148"/>
    <s v="10022001"/>
    <s v="Building-Others - NIDP"/>
    <s v="0100000018"/>
    <x v="10"/>
    <s v="Civil Works Providing, erecting, fixing in positio"/>
    <d v="2024-04-04T00:00:00"/>
    <d v="2024-04-04T00:00:00"/>
    <d v="2024-04-04T00:00:00"/>
    <n v="145"/>
    <s v="M2"/>
    <n v="79750"/>
    <n v="-2377.58"/>
    <n v="77372.42"/>
    <x v="0"/>
  </r>
  <r>
    <s v="109149"/>
    <s v="10022001"/>
    <s v="Building-Others - NIDP"/>
    <s v="0100000018"/>
    <x v="10"/>
    <s v="Civil Works"/>
    <d v="2024-04-04T00:00:00"/>
    <d v="2024-04-04T00:00:00"/>
    <d v="2024-04-04T00:00:00"/>
    <n v="22700"/>
    <s v="KG"/>
    <n v="1884100"/>
    <n v="-56170.54"/>
    <n v="1827929.46"/>
    <x v="0"/>
  </r>
  <r>
    <s v="109150"/>
    <s v="10022001"/>
    <s v="Building-Others - NIDP"/>
    <s v="0100000018"/>
    <x v="10"/>
    <s v="Civil Works Breaking &amp; demolition of reinforced ce"/>
    <d v="2024-04-04T00:00:00"/>
    <d v="2024-04-04T00:00:00"/>
    <d v="2024-04-04T00:00:00"/>
    <n v="97.34"/>
    <s v="M3"/>
    <n v="730050"/>
    <n v="-21764.93"/>
    <n v="708285.07"/>
    <x v="0"/>
  </r>
  <r>
    <s v="109151"/>
    <s v="10022001"/>
    <s v="Building-Others - NIDP"/>
    <s v="0100000018"/>
    <x v="10"/>
    <s v="Civil Works Breaking &amp; demolition of brick work /"/>
    <d v="2024-04-04T00:00:00"/>
    <d v="2024-04-04T00:00:00"/>
    <d v="2024-04-04T00:00:00"/>
    <n v="28.5"/>
    <s v="M3"/>
    <n v="99750"/>
    <n v="-2973.84"/>
    <n v="96776.16"/>
    <x v="0"/>
  </r>
  <r>
    <s v="109152"/>
    <s v="10022001"/>
    <s v="Building-Others - NIDP"/>
    <s v="0100000018"/>
    <x v="10"/>
    <s v="Civil Works Providing and Fixing of Fire Sealent(2"/>
    <d v="2024-04-04T00:00:00"/>
    <d v="2024-04-04T00:00:00"/>
    <d v="2024-04-04T00:00:00"/>
    <n v="185"/>
    <s v="M2"/>
    <n v="6327000"/>
    <n v="-188626.42"/>
    <n v="6138373.5800000001"/>
    <x v="0"/>
  </r>
  <r>
    <s v="109153"/>
    <s v="10022001"/>
    <s v="Building-Others - NIDP"/>
    <s v="0100000018"/>
    <x v="10"/>
    <s v="Civil Works"/>
    <d v="2024-04-04T00:00:00"/>
    <d v="2024-04-04T00:00:00"/>
    <d v="2024-04-04T00:00:00"/>
    <n v="146"/>
    <s v="M3"/>
    <n v="868700"/>
    <n v="-25898.49"/>
    <n v="842801.51"/>
    <x v="0"/>
  </r>
  <r>
    <s v="109154"/>
    <s v="10022001"/>
    <s v="Building-Others - NIDP"/>
    <s v="0100000018"/>
    <x v="10"/>
    <s v="SUPPLY AND INSTA OF CIVIL WORK METERING ROOM"/>
    <d v="2024-04-04T00:00:00"/>
    <d v="2024-04-04T00:00:00"/>
    <d v="2024-04-04T00:00:00"/>
    <n v="54.43"/>
    <s v="M"/>
    <n v="15784.7"/>
    <n v="-470.59"/>
    <n v="15314.11"/>
    <x v="0"/>
  </r>
  <r>
    <s v="109155"/>
    <s v="10022001"/>
    <s v="Building-Others - NIDP"/>
    <s v="0100000018"/>
    <x v="10"/>
    <s v="SUPPLY AND INSTA OF CIVIL WORK METERING ROOM"/>
    <d v="2024-04-04T00:00:00"/>
    <d v="2024-04-04T00:00:00"/>
    <d v="2024-04-04T00:00:00"/>
    <n v="53.04"/>
    <s v="M"/>
    <n v="15381.6"/>
    <n v="-458.57"/>
    <n v="14923.03"/>
    <x v="0"/>
  </r>
  <r>
    <s v="109156"/>
    <s v="10022001"/>
    <s v="Building-Others - NIDP"/>
    <s v="0100000018"/>
    <x v="10"/>
    <s v="SUPPLY AND INSTA OF CIVIL WORK METERING ROOM"/>
    <d v="2024-04-04T00:00:00"/>
    <d v="2024-04-04T00:00:00"/>
    <d v="2024-04-04T00:00:00"/>
    <n v="3.65"/>
    <s v="M"/>
    <n v="26280"/>
    <n v="-783.48"/>
    <n v="25496.52"/>
    <x v="0"/>
  </r>
  <r>
    <s v="109157"/>
    <s v="10022001"/>
    <s v="Building-Others - NIDP"/>
    <s v="0100000018"/>
    <x v="10"/>
    <s v="SUPPLY AND INSTA OF CIVIL WORK METERING ROOM"/>
    <d v="2024-04-04T00:00:00"/>
    <d v="2024-04-04T00:00:00"/>
    <d v="2024-04-04T00:00:00"/>
    <n v="18.68"/>
    <s v="M"/>
    <n v="184902.3"/>
    <n v="-5512.48"/>
    <n v="179389.82"/>
    <x v="0"/>
  </r>
  <r>
    <s v="109158"/>
    <s v="10022001"/>
    <s v="Building-Others - NIDP"/>
    <s v="0100000018"/>
    <x v="10"/>
    <s v="SUPPLY AND INSTA OF CIVIL WORK METERING ROOM"/>
    <d v="2024-04-04T00:00:00"/>
    <d v="2024-04-04T00:00:00"/>
    <d v="2024-04-04T00:00:00"/>
    <n v="114.15"/>
    <s v="M2"/>
    <n v="85612.5"/>
    <n v="-2552.36"/>
    <n v="83060.14"/>
    <x v="0"/>
  </r>
  <r>
    <s v="109159"/>
    <s v="10022001"/>
    <s v="Building-Others - NIDP"/>
    <s v="0100000018"/>
    <x v="10"/>
    <s v="SUPPLY AND INSTA OF CIVIL WORK METERING ROOM"/>
    <d v="2024-04-04T00:00:00"/>
    <d v="2024-04-04T00:00:00"/>
    <d v="2024-04-04T00:00:00"/>
    <n v="2066.19"/>
    <s v="KG"/>
    <n v="181824.72"/>
    <n v="-5420.73"/>
    <n v="176403.99"/>
    <x v="0"/>
  </r>
  <r>
    <s v="109160"/>
    <s v="10022001"/>
    <s v="Building-Others - NIDP"/>
    <s v="0100000018"/>
    <x v="10"/>
    <s v="SUPPLY AND INSTA OF CIVIL WORK METERING ROOM"/>
    <d v="2024-04-04T00:00:00"/>
    <d v="2024-04-04T00:00:00"/>
    <d v="2024-04-04T00:00:00"/>
    <n v="18.29"/>
    <s v="M2"/>
    <n v="10974"/>
    <n v="-327.17"/>
    <n v="10646.83"/>
    <x v="0"/>
  </r>
  <r>
    <s v="109161"/>
    <s v="10022001"/>
    <s v="Building-Others - NIDP"/>
    <s v="0100000018"/>
    <x v="10"/>
    <s v="SUPPLY AND INSTA OF CIVIL WORK METERING ROOM"/>
    <d v="2024-04-04T00:00:00"/>
    <d v="2024-04-04T00:00:00"/>
    <d v="2024-04-04T00:00:00"/>
    <n v="9.7100000000000009"/>
    <s v="M"/>
    <n v="106843"/>
    <n v="-3185.3"/>
    <n v="103657.7"/>
    <x v="0"/>
  </r>
  <r>
    <s v="109162"/>
    <s v="10022001"/>
    <s v="Building-Others - NIDP"/>
    <s v="0100000018"/>
    <x v="10"/>
    <s v="SUPPLY AND INSTA OF CIVIL WORK METERING ROOM"/>
    <d v="2024-04-04T00:00:00"/>
    <d v="2024-04-04T00:00:00"/>
    <d v="2024-04-04T00:00:00"/>
    <n v="83.2"/>
    <s v="M2"/>
    <n v="24128"/>
    <n v="-719.33"/>
    <n v="23408.67"/>
    <x v="0"/>
  </r>
  <r>
    <s v="109163"/>
    <s v="10022001"/>
    <s v="Building-Others - NIDP"/>
    <s v="0100000018"/>
    <x v="10"/>
    <s v="SUPPLY AND INSTA OF CIVIL WORK METERING ROOM"/>
    <d v="2024-04-04T00:00:00"/>
    <d v="2024-04-04T00:00:00"/>
    <d v="2024-04-04T00:00:00"/>
    <n v="113.19"/>
    <s v="M2"/>
    <n v="83760.600000000006"/>
    <n v="-2497.15"/>
    <n v="81263.45"/>
    <x v="0"/>
  </r>
  <r>
    <s v="109164"/>
    <s v="10022001"/>
    <s v="Building-Others - NIDP"/>
    <s v="0100000018"/>
    <x v="10"/>
    <s v="SUPPLY AND INSTA OF CIVIL WORK METERING ROOM"/>
    <d v="2024-04-04T00:00:00"/>
    <d v="2024-04-04T00:00:00"/>
    <d v="2024-04-04T00:00:00"/>
    <n v="114.96"/>
    <s v="M2"/>
    <n v="36442.32"/>
    <n v="-1086.45"/>
    <n v="35355.870000000003"/>
    <x v="0"/>
  </r>
  <r>
    <s v="109165"/>
    <s v="10022001"/>
    <s v="Building-Others - NIDP"/>
    <s v="0100000018"/>
    <x v="10"/>
    <s v="SUPPLY AND INSTA OF CIVIL WORK METERING ROOM"/>
    <d v="2024-04-04T00:00:00"/>
    <d v="2024-04-04T00:00:00"/>
    <d v="2024-04-04T00:00:00"/>
    <n v="119.55"/>
    <s v="M2"/>
    <n v="88467"/>
    <n v="-2637.46"/>
    <n v="85829.54"/>
    <x v="0"/>
  </r>
  <r>
    <s v="109166"/>
    <s v="10022001"/>
    <s v="Building-Others - NIDP"/>
    <s v="0100000018"/>
    <x v="10"/>
    <s v="SUPPLY AND INSTA OF CIVIL WORK METERING ROOM"/>
    <d v="2024-04-04T00:00:00"/>
    <d v="2024-04-04T00:00:00"/>
    <d v="2024-04-04T00:00:00"/>
    <n v="22.27"/>
    <s v="M2"/>
    <n v="13362"/>
    <n v="-398.36"/>
    <n v="12963.64"/>
    <x v="0"/>
  </r>
  <r>
    <s v="109167"/>
    <s v="10022001"/>
    <s v="Building-Others - NIDP"/>
    <s v="0100000018"/>
    <x v="10"/>
    <s v="SUPPLY AND INSTA OF CIVIL WORK METERING ROOM"/>
    <d v="2024-04-04T00:00:00"/>
    <d v="2024-04-04T00:00:00"/>
    <d v="2024-04-04T00:00:00"/>
    <n v="16.89"/>
    <s v="M2"/>
    <n v="24490.5"/>
    <n v="-730.13"/>
    <n v="23760.37"/>
    <x v="0"/>
  </r>
  <r>
    <s v="109168"/>
    <s v="10022001"/>
    <s v="Building-Others - NIDP"/>
    <s v="0100000018"/>
    <x v="10"/>
    <s v="SUPPLY AND INSTA OF CIVIL WORK METERING ROOM"/>
    <d v="2024-04-04T00:00:00"/>
    <d v="2024-04-04T00:00:00"/>
    <d v="2024-04-04T00:00:00"/>
    <n v="2"/>
    <s v="NOS"/>
    <n v="12000"/>
    <n v="-357.76"/>
    <n v="11642.24"/>
    <x v="0"/>
  </r>
  <r>
    <s v="109169"/>
    <s v="10022001"/>
    <s v="Building-Others - NIDP"/>
    <s v="0100000018"/>
    <x v="10"/>
    <s v="SUPPLY AND INSTA OF CIVIL WORK METERING ROOM"/>
    <d v="2024-04-04T00:00:00"/>
    <d v="2024-04-04T00:00:00"/>
    <d v="2024-04-04T00:00:00"/>
    <n v="45.46"/>
    <s v="M2"/>
    <n v="32733.200000000001"/>
    <n v="-975.87"/>
    <n v="31757.33"/>
    <x v="0"/>
  </r>
  <r>
    <s v="109170"/>
    <s v="10036001"/>
    <s v="IT equipment software NIDP"/>
    <s v="0100000031"/>
    <x v="11"/>
    <s v="DELL OPTIPLEX 7010 MT DESKTOP"/>
    <d v="2024-04-04T00:00:00"/>
    <d v="2024-04-04T00:00:00"/>
    <d v="2024-04-04T00:00:00"/>
    <n v="1"/>
    <s v="EA"/>
    <n v="72669.3"/>
    <n v="-9729.7199999999993"/>
    <n v="62939.58"/>
    <x v="0"/>
  </r>
  <r>
    <s v="109171"/>
    <s v="10036001"/>
    <s v="IT equipment software NIDP"/>
    <s v="0100000031"/>
    <x v="11"/>
    <s v="DELL OPTIPLEX 7010 MT MONITOR"/>
    <d v="2024-04-04T00:00:00"/>
    <d v="2024-04-04T00:00:00"/>
    <d v="2024-04-04T00:00:00"/>
    <n v="1"/>
    <s v="EA"/>
    <n v="1"/>
    <n v="-0.13"/>
    <n v="0.87"/>
    <x v="0"/>
  </r>
  <r>
    <s v="109172"/>
    <s v="10036001"/>
    <s v="IT equipment software NIDP"/>
    <s v="0100000031"/>
    <x v="11"/>
    <s v="DELL LATITUDE 3430 LAPTOP"/>
    <d v="2024-04-04T00:00:00"/>
    <d v="2024-04-04T00:00:00"/>
    <d v="2024-04-04T00:00:00"/>
    <n v="1"/>
    <s v="EA"/>
    <n v="69584.600000000006"/>
    <n v="-9316.7099999999991"/>
    <n v="60267.89"/>
    <x v="0"/>
  </r>
  <r>
    <s v="109173"/>
    <s v="10036001"/>
    <s v="IT equipment software NIDP"/>
    <s v="0100000031"/>
    <x v="11"/>
    <s v="DELL LATITUDE 3430 LAPTOP"/>
    <d v="2024-04-04T00:00:00"/>
    <d v="2024-04-04T00:00:00"/>
    <d v="2024-04-04T00:00:00"/>
    <n v="1"/>
    <s v="EA"/>
    <n v="69584.600000000006"/>
    <n v="-9316.7099999999991"/>
    <n v="60267.89"/>
    <x v="0"/>
  </r>
  <r>
    <s v="109174"/>
    <s v="10036001"/>
    <s v="IT equipment software NIDP"/>
    <s v="0100000031"/>
    <x v="11"/>
    <s v="SEAGATE 2TB EXPANSION HDD"/>
    <d v="2024-04-04T00:00:00"/>
    <d v="2024-04-04T00:00:00"/>
    <d v="2024-04-04T00:00:00"/>
    <n v="1"/>
    <s v="EA"/>
    <n v="6726.01"/>
    <n v="-900.55"/>
    <n v="5825.46"/>
    <x v="0"/>
  </r>
  <r>
    <s v="109175"/>
    <s v="10036001"/>
    <s v="IT equipment software NIDP"/>
    <s v="0100000031"/>
    <x v="11"/>
    <s v="SEAGATE 2TB EXPANSION HDD"/>
    <d v="2024-04-04T00:00:00"/>
    <d v="2024-04-04T00:00:00"/>
    <d v="2024-04-04T00:00:00"/>
    <n v="1"/>
    <s v="EA"/>
    <n v="6726.01"/>
    <n v="-900.55"/>
    <n v="5825.46"/>
    <x v="0"/>
  </r>
  <r>
    <s v="109176"/>
    <s v="10023001"/>
    <s v="Switchgear cable connection NIDP"/>
    <s v="0100000019"/>
    <x v="9"/>
    <s v="HT Cables 1100V grade, Armoured, cable"/>
    <d v="2024-04-04T00:00:00"/>
    <d v="2024-04-04T00:00:00"/>
    <d v="2024-04-04T00:00:00"/>
    <n v="1880"/>
    <s v="AU"/>
    <n v="4277000"/>
    <n v="-201572.55"/>
    <n v="4075427.45"/>
    <x v="0"/>
  </r>
  <r>
    <s v="109177"/>
    <s v="10023001"/>
    <s v="Switchgear cable connection NIDP"/>
    <s v="0100000019"/>
    <x v="9"/>
    <s v="3 C x 400 Sq.mm, Aluminium , XLPE, FRL HT CABLE EN"/>
    <d v="2024-04-04T00:00:00"/>
    <d v="2024-04-04T00:00:00"/>
    <d v="2024-04-04T00:00:00"/>
    <n v="72"/>
    <s v="AU"/>
    <n v="505800"/>
    <n v="-23838.06"/>
    <n v="481961.94"/>
    <x v="0"/>
  </r>
  <r>
    <s v="109178"/>
    <s v="10023001"/>
    <s v="Switchgear cable connection NIDP"/>
    <s v="0100000019"/>
    <x v="9"/>
    <s v="Electrical Works LDB-SS-2-GF,1F AT SUBSTATION-2,S"/>
    <d v="2024-04-04T00:00:00"/>
    <d v="2024-04-04T00:00:00"/>
    <d v="2024-04-04T00:00:00"/>
    <n v="2"/>
    <s v="AU"/>
    <n v="90000"/>
    <n v="-4241.6499999999996"/>
    <n v="85758.35"/>
    <x v="0"/>
  </r>
  <r>
    <s v="109179"/>
    <s v="10023001"/>
    <s v="Switchgear cable connection NIDP"/>
    <s v="0100000019"/>
    <x v="9"/>
    <s v="PDB-SS-2 AT SUBSTATION-2 S of DB similar to above"/>
    <d v="2024-04-04T00:00:00"/>
    <d v="2024-04-04T00:00:00"/>
    <d v="2024-04-04T00:00:00"/>
    <n v="1"/>
    <s v="AU"/>
    <n v="37500"/>
    <n v="-1767.35"/>
    <n v="35732.65"/>
    <x v="0"/>
  </r>
  <r>
    <s v="109180"/>
    <s v="10023001"/>
    <s v="Switchgear cable connection NIDP"/>
    <s v="0100000019"/>
    <x v="9"/>
    <s v="UPSDB-SS-2 AT SUBSTATION-2 UPSDB-SS-2 AT SUBSTATIO"/>
    <d v="2024-04-04T00:00:00"/>
    <d v="2024-04-04T00:00:00"/>
    <d v="2024-04-04T00:00:00"/>
    <n v="1"/>
    <s v="AU"/>
    <n v="25000"/>
    <n v="-1178.24"/>
    <n v="23821.759999999998"/>
    <x v="0"/>
  </r>
  <r>
    <s v="109181"/>
    <s v="10026001"/>
    <s v="Fittings and apparatus NIDP"/>
    <s v="0100000022"/>
    <x v="3"/>
    <s v="Primary Light Point with switch (term Primary Ligh"/>
    <d v="2024-04-04T00:00:00"/>
    <d v="2024-04-04T00:00:00"/>
    <d v="2024-04-04T00:00:00"/>
    <n v="27"/>
    <s v="AU"/>
    <n v="59400"/>
    <n v="-3356.2"/>
    <n v="56043.8"/>
    <x v="0"/>
  </r>
  <r>
    <s v="109182"/>
    <s v="10026001"/>
    <s v="Fittings and apparatus NIDP"/>
    <s v="0100000022"/>
    <x v="3"/>
    <s v="Secondary light points looped from the a Secondary"/>
    <d v="2024-04-04T00:00:00"/>
    <d v="2024-04-04T00:00:00"/>
    <d v="2024-04-04T00:00:00"/>
    <n v="135"/>
    <s v="AU"/>
    <n v="135000"/>
    <n v="-7627.74"/>
    <n v="127372.26"/>
    <x v="0"/>
  </r>
  <r>
    <s v="109183"/>
    <s v="10026001"/>
    <s v="Fittings and apparatus NIDP"/>
    <s v="0100000022"/>
    <x v="3"/>
    <s v="Secondary light points looped from the a Primary e"/>
    <d v="2024-04-04T00:00:00"/>
    <d v="2024-04-04T00:00:00"/>
    <d v="2024-04-04T00:00:00"/>
    <n v="14"/>
    <s v="AU"/>
    <n v="63000"/>
    <n v="-3559.61"/>
    <n v="59440.39"/>
    <x v="0"/>
  </r>
  <r>
    <s v="109184"/>
    <s v="10026001"/>
    <s v="Fittings and apparatus NIDP"/>
    <s v="0100000022"/>
    <x v="3"/>
    <s v="Secondary Emergency light points looped"/>
    <d v="2024-04-04T00:00:00"/>
    <d v="2024-04-04T00:00:00"/>
    <d v="2024-04-04T00:00:00"/>
    <n v="18"/>
    <s v="AU"/>
    <n v="18000"/>
    <n v="-1017.03"/>
    <n v="16982.97"/>
    <x v="0"/>
  </r>
  <r>
    <s v="109185"/>
    <s v="10026001"/>
    <s v="Fittings and apparatus NIDP"/>
    <s v="0100000022"/>
    <x v="3"/>
    <s v="Point wiring for 5A plug point on wall/s Point wir"/>
    <d v="2024-04-04T00:00:00"/>
    <d v="2024-04-04T00:00:00"/>
    <d v="2024-04-04T00:00:00"/>
    <n v="40"/>
    <s v="AU"/>
    <n v="280000"/>
    <n v="-15820.49"/>
    <n v="264179.51"/>
    <x v="0"/>
  </r>
  <r>
    <s v="109186"/>
    <s v="10026001"/>
    <s v="Fittings and apparatus NIDP"/>
    <s v="0100000022"/>
    <x v="3"/>
    <s v="Point wiring for 5A plug point similar to above, b"/>
    <d v="2024-04-04T00:00:00"/>
    <d v="2024-04-04T00:00:00"/>
    <d v="2024-04-04T00:00:00"/>
    <n v="20"/>
    <s v="AU"/>
    <n v="122000"/>
    <n v="-6893.21"/>
    <n v="115106.79"/>
    <x v="0"/>
  </r>
  <r>
    <s v="109187"/>
    <s v="10026001"/>
    <s v="Fittings and apparatus NIDP"/>
    <s v="0100000022"/>
    <x v="3"/>
    <s v="Point wiring for 5A power point comprising of a 3"/>
    <d v="2024-04-04T00:00:00"/>
    <d v="2024-04-04T00:00:00"/>
    <d v="2024-04-04T00:00:00"/>
    <n v="10"/>
    <s v="AU"/>
    <n v="65000"/>
    <n v="-3672.61"/>
    <n v="61327.39"/>
    <x v="0"/>
  </r>
  <r>
    <s v="109188"/>
    <s v="10026001"/>
    <s v="Fittings and apparatus NIDP"/>
    <s v="0100000022"/>
    <x v="3"/>
    <s v="Point wiring for 15A plug point on wall/skirting e"/>
    <d v="2024-04-04T00:00:00"/>
    <d v="2024-04-04T00:00:00"/>
    <d v="2024-04-04T00:00:00"/>
    <n v="2"/>
    <s v="AU"/>
    <n v="9600"/>
    <n v="-542.41999999999996"/>
    <n v="9057.58"/>
    <x v="0"/>
  </r>
  <r>
    <s v="109189"/>
    <s v="10026001"/>
    <s v="Fittings and apparatus NIDP"/>
    <s v="0100000022"/>
    <x v="3"/>
    <s v="Point wiring for 15A plug point similar to above b"/>
    <d v="2024-04-04T00:00:00"/>
    <d v="2024-04-04T00:00:00"/>
    <d v="2024-04-04T00:00:00"/>
    <n v="28"/>
    <s v="AU"/>
    <n v="94500"/>
    <n v="-5339.42"/>
    <n v="89160.58"/>
    <x v="0"/>
  </r>
  <r>
    <s v="109190"/>
    <s v="10026001"/>
    <s v="Fittings and apparatus NIDP"/>
    <s v="0100000022"/>
    <x v="3"/>
    <s v="Power plug poi S of point wiring for Computer 470"/>
    <d v="2024-04-04T00:00:00"/>
    <d v="2024-04-04T00:00:00"/>
    <d v="2024-04-04T00:00:00"/>
    <n v="1"/>
    <s v="AU"/>
    <n v="2690"/>
    <n v="-151.99"/>
    <n v="2538.0100000000002"/>
    <x v="0"/>
  </r>
  <r>
    <s v="109191"/>
    <s v="10026001"/>
    <s v="Fittings and apparatus NIDP"/>
    <s v="0100000022"/>
    <x v="3"/>
    <s v="G.I. conduits including all accessories,clamps,spa"/>
    <d v="2024-04-04T00:00:00"/>
    <d v="2024-04-04T00:00:00"/>
    <d v="2024-04-04T00:00:00"/>
    <n v="100"/>
    <s v="AU"/>
    <n v="13000"/>
    <n v="-734.52"/>
    <n v="12265.48"/>
    <x v="0"/>
  </r>
  <r>
    <s v="109192"/>
    <s v="10026001"/>
    <s v="Fittings and apparatus NIDP"/>
    <s v="0100000022"/>
    <x v="3"/>
    <s v="490 - 00000000000598/G .I. conduits -25MM 25 MM"/>
    <d v="2024-04-04T00:00:00"/>
    <d v="2024-04-04T00:00:00"/>
    <d v="2024-04-04T00:00:00"/>
    <n v="100"/>
    <s v="AU"/>
    <n v="16000"/>
    <n v="-904.03"/>
    <n v="15095.97"/>
    <x v="0"/>
  </r>
  <r>
    <s v="109193"/>
    <s v="10026001"/>
    <s v="Fittings and apparatus NIDP"/>
    <s v="0100000022"/>
    <x v="3"/>
    <s v="500 - 200000000000598/ G.I. conduits -40MM 40 MM"/>
    <d v="2024-04-04T00:00:00"/>
    <d v="2024-04-04T00:00:00"/>
    <d v="2024-04-04T00:00:00"/>
    <n v="100"/>
    <s v="AU"/>
    <n v="37000"/>
    <n v="-2090.56"/>
    <n v="34909.440000000002"/>
    <x v="0"/>
  </r>
  <r>
    <s v="109194"/>
    <s v="10023001"/>
    <s v="Switchgear cable connection NIDP"/>
    <s v="0100000019"/>
    <x v="9"/>
    <s v="CABLE TRAYS &amp; TRUNKINGS (SUPPLY )S of heavy duty,"/>
    <d v="2024-04-04T00:00:00"/>
    <d v="2024-04-04T00:00:00"/>
    <d v="2024-04-04T00:00:00"/>
    <n v="200"/>
    <s v="AU"/>
    <n v="480000"/>
    <n v="-22622.12"/>
    <n v="457377.88"/>
    <x v="0"/>
  </r>
  <r>
    <s v="109195"/>
    <s v="10023001"/>
    <s v="Switchgear cable connection NIDP"/>
    <s v="0100000019"/>
    <x v="9"/>
    <s v="Cable Tray -750mm x 75mm X 2.0 mm 750mm x 75mm X 2"/>
    <d v="2024-04-04T00:00:00"/>
    <d v="2024-04-04T00:00:00"/>
    <d v="2024-04-04T00:00:00"/>
    <n v="300"/>
    <s v="AU"/>
    <n v="660000"/>
    <n v="-31105.42"/>
    <n v="628894.57999999996"/>
    <x v="0"/>
  </r>
  <r>
    <s v="109196"/>
    <s v="10023001"/>
    <s v="Switchgear cable connection NIDP"/>
    <s v="0100000019"/>
    <x v="9"/>
    <s v="Perporated cable Tray 300mm x 50mm x2.0mm 300mm x"/>
    <d v="2024-04-04T00:00:00"/>
    <d v="2024-04-04T00:00:00"/>
    <d v="2024-04-04T00:00:00"/>
    <n v="80"/>
    <s v="AU"/>
    <n v="96000"/>
    <n v="-4524.42"/>
    <n v="91475.58"/>
    <x v="0"/>
  </r>
  <r>
    <s v="109197"/>
    <s v="10023001"/>
    <s v="Switchgear cable connection NIDP"/>
    <s v="0100000019"/>
    <x v="9"/>
    <s v="Perporated cbale Tra200mm x 50mm X 1.6mm 200mm x 5"/>
    <d v="2024-04-04T00:00:00"/>
    <d v="2024-04-04T00:00:00"/>
    <d v="2024-04-04T00:00:00"/>
    <n v="33"/>
    <s v="AU"/>
    <n v="20625"/>
    <n v="-972.04"/>
    <n v="19652.96"/>
    <x v="0"/>
  </r>
  <r>
    <s v="109198"/>
    <s v="10023001"/>
    <s v="Switchgear cable connection NIDP"/>
    <s v="0100000019"/>
    <x v="9"/>
    <s v="200 mm Wide x 100mm Deep x 1.6mm"/>
    <d v="2024-04-04T00:00:00"/>
    <d v="2024-04-04T00:00:00"/>
    <d v="2024-04-04T00:00:00"/>
    <n v="125"/>
    <s v="AU"/>
    <n v="157500"/>
    <n v="-7422.88"/>
    <n v="150077.12"/>
    <x v="0"/>
  </r>
  <r>
    <s v="109199"/>
    <s v="10023001"/>
    <s v="Switchgear cable connection NIDP"/>
    <s v="0100000019"/>
    <x v="9"/>
    <s v="150 mm Wide x 100mm Deep x 1.6mm Thick w 150 mm"/>
    <d v="2024-04-04T00:00:00"/>
    <d v="2024-04-04T00:00:00"/>
    <d v="2024-04-04T00:00:00"/>
    <n v="10"/>
    <s v="AU"/>
    <n v="10600"/>
    <n v="-499.57"/>
    <n v="10100.43"/>
    <x v="0"/>
  </r>
  <r>
    <s v="109200"/>
    <s v="10023001"/>
    <s v="Switchgear cable connection NIDP"/>
    <s v="0100000019"/>
    <x v="9"/>
    <s v="100 mm Wide x 100mm Deep x 1.6mm Thick 100 mm"/>
    <d v="2024-04-04T00:00:00"/>
    <d v="2024-04-04T00:00:00"/>
    <d v="2024-04-04T00:00:00"/>
    <n v="325"/>
    <s v="AU"/>
    <n v="281125"/>
    <n v="-13249.26"/>
    <n v="267875.74"/>
    <x v="0"/>
  </r>
  <r>
    <s v="109201"/>
    <s v="10024001"/>
    <s v="Other Assets covered NIDP"/>
    <s v="0100000020"/>
    <x v="4"/>
    <s v="EARTHING &amp; LIGHTENING PROTECTION SYSTEMS of earth"/>
    <d v="2024-04-04T00:00:00"/>
    <d v="2024-04-04T00:00:00"/>
    <d v="2024-04-04T00:00:00"/>
    <n v="5"/>
    <s v="AU"/>
    <n v="112500"/>
    <n v="-5302.06"/>
    <n v="107197.94"/>
    <x v="1"/>
  </r>
  <r>
    <s v="109202"/>
    <s v="10024001"/>
    <s v="Other Assets covered NIDP"/>
    <s v="0100000020"/>
    <x v="4"/>
    <s v="50mm x 6 mm thick GI strip welded &amp; pain S"/>
    <d v="2024-04-04T00:00:00"/>
    <d v="2024-04-04T00:00:00"/>
    <d v="2024-04-04T00:00:00"/>
    <n v="435"/>
    <s v="AU"/>
    <n v="134850"/>
    <n v="-6355.4"/>
    <n v="128494.6"/>
    <x v="0"/>
  </r>
  <r>
    <s v="109203"/>
    <s v="10024001"/>
    <s v="Other Assets covered NIDP"/>
    <s v="0100000020"/>
    <x v="4"/>
    <s v="25mm x 3mm thick GI strip welded &amp;"/>
    <d v="2024-04-04T00:00:00"/>
    <d v="2024-04-04T00:00:00"/>
    <d v="2024-04-04T00:00:00"/>
    <n v="20"/>
    <s v="AU"/>
    <n v="1600"/>
    <n v="-75.41"/>
    <n v="1524.59"/>
    <x v="0"/>
  </r>
  <r>
    <s v="109204"/>
    <s v="10024001"/>
    <s v="Other Assets covered NIDP"/>
    <s v="0100000020"/>
    <x v="4"/>
    <s v="12 SWG copper wire 12 SWG copper wire"/>
    <d v="2024-04-04T00:00:00"/>
    <d v="2024-04-04T00:00:00"/>
    <d v="2024-04-04T00:00:00"/>
    <n v="40"/>
    <s v="AU"/>
    <n v="2400"/>
    <n v="-113.11"/>
    <n v="2286.89"/>
    <x v="0"/>
  </r>
  <r>
    <s v="109205"/>
    <s v="10023001"/>
    <s v="Switchgear cable connection NIDP"/>
    <s v="0100000019"/>
    <x v="9"/>
    <s v="FLOOR POWER PANEL-BSMT-A &amp; B (35KA)"/>
    <d v="2024-04-04T00:00:00"/>
    <d v="2024-04-04T00:00:00"/>
    <d v="2024-04-04T00:00:00"/>
    <n v="2"/>
    <s v="AU"/>
    <n v="1590000"/>
    <n v="-74935.789999999994"/>
    <n v="1515064.21"/>
    <x v="0"/>
  </r>
  <r>
    <s v="109206"/>
    <s v="10023001"/>
    <s v="Switchgear cable connection NIDP"/>
    <s v="0100000019"/>
    <x v="9"/>
    <s v="PUMP PANELBSMT- A &amp; B (35KA) AT BASEMENT"/>
    <d v="2024-04-04T00:00:00"/>
    <d v="2024-04-04T00:00:00"/>
    <d v="2024-04-04T00:00:00"/>
    <n v="2"/>
    <s v="AU"/>
    <n v="990000"/>
    <n v="-46658.13"/>
    <n v="943341.87"/>
    <x v="0"/>
  </r>
  <r>
    <s v="109207"/>
    <s v="10023001"/>
    <s v="Switchgear cable connection NIDP"/>
    <s v="0100000019"/>
    <x v="9"/>
    <s v="LT PANEL-SS2 (25KA) AT SUBSTATION-2"/>
    <d v="2024-04-04T00:00:00"/>
    <d v="2024-04-04T00:00:00"/>
    <d v="2024-04-04T00:00:00"/>
    <n v="1"/>
    <s v="AU"/>
    <n v="1090000"/>
    <n v="-51371.07"/>
    <n v="1038628.93"/>
    <x v="0"/>
  </r>
  <r>
    <s v="109208"/>
    <s v="10023001"/>
    <s v="Switchgear cable connection NIDP"/>
    <s v="0100000019"/>
    <x v="9"/>
    <s v="3.5 C x 300 Sq.mm, Aluminium, XLPE, FRLS"/>
    <d v="2024-04-04T00:00:00"/>
    <d v="2024-04-04T00:00:00"/>
    <d v="2024-04-04T00:00:00"/>
    <n v="165"/>
    <s v="AU"/>
    <n v="221100"/>
    <n v="-10420.32"/>
    <n v="210679.67999999999"/>
    <x v="0"/>
  </r>
  <r>
    <s v="109209"/>
    <s v="10023001"/>
    <s v="Switchgear cable connection NIDP"/>
    <s v="0100000019"/>
    <x v="9"/>
    <s v="3.5 C x 95 Sq.mm, Aluminium, XLPE, FRLS"/>
    <d v="2024-04-04T00:00:00"/>
    <d v="2024-04-04T00:00:00"/>
    <d v="2024-04-04T00:00:00"/>
    <n v="350"/>
    <s v="AU"/>
    <n v="159250"/>
    <n v="-7505.36"/>
    <n v="151744.64000000001"/>
    <x v="0"/>
  </r>
  <r>
    <s v="109210"/>
    <s v="10023001"/>
    <s v="Switchgear cable connection NIDP"/>
    <s v="0100000019"/>
    <x v="9"/>
    <s v="3.5 C x 70 Sq.mm, Aluminium, XLPE, FRLS"/>
    <d v="2024-04-04T00:00:00"/>
    <d v="2024-04-04T00:00:00"/>
    <d v="2024-04-04T00:00:00"/>
    <n v="200"/>
    <s v="AU"/>
    <n v="74000"/>
    <n v="-3487.58"/>
    <n v="70512.42"/>
    <x v="0"/>
  </r>
  <r>
    <s v="109211"/>
    <s v="10023001"/>
    <s v="Switchgear cable connection NIDP"/>
    <s v="0100000019"/>
    <x v="9"/>
    <s v="4 C x 16 Sq.mm, copper, XLPE, FRLS"/>
    <d v="2024-04-04T00:00:00"/>
    <d v="2024-04-04T00:00:00"/>
    <d v="2024-04-04T00:00:00"/>
    <n v="500"/>
    <s v="AU"/>
    <n v="360000"/>
    <n v="-16966.59"/>
    <n v="343033.41"/>
    <x v="0"/>
  </r>
  <r>
    <s v="109212"/>
    <s v="10023001"/>
    <s v="Switchgear cable connection NIDP"/>
    <s v="0100000019"/>
    <x v="9"/>
    <s v="4 C x 10 Sq.mm, Copper, XLPE, FRLS"/>
    <d v="2024-04-04T00:00:00"/>
    <d v="2024-04-04T00:00:00"/>
    <d v="2024-04-04T00:00:00"/>
    <n v="300"/>
    <s v="AU"/>
    <n v="147000"/>
    <n v="-6928.03"/>
    <n v="140071.97"/>
    <x v="0"/>
  </r>
  <r>
    <s v="109213"/>
    <s v="10023001"/>
    <s v="Switchgear cable connection NIDP"/>
    <s v="0100000019"/>
    <x v="9"/>
    <s v="4 C x 6 Sq.mm, Copper, XLPE, FRLS"/>
    <d v="2024-04-04T00:00:00"/>
    <d v="2024-04-04T00:00:00"/>
    <d v="2024-04-04T00:00:00"/>
    <n v="100"/>
    <s v="AU"/>
    <n v="30500"/>
    <n v="-1437.45"/>
    <n v="29062.55"/>
    <x v="0"/>
  </r>
  <r>
    <s v="109214"/>
    <s v="10023001"/>
    <s v="Switchgear cable connection NIDP"/>
    <s v="0100000019"/>
    <x v="9"/>
    <s v="4 C x 4 Sq.mm, Copper, XLPE, FRLS"/>
    <d v="2024-04-04T00:00:00"/>
    <d v="2024-04-04T00:00:00"/>
    <d v="2024-04-04T00:00:00"/>
    <n v="600"/>
    <s v="AU"/>
    <n v="129000"/>
    <n v="-6079.7"/>
    <n v="122920.3"/>
    <x v="0"/>
  </r>
  <r>
    <s v="109215"/>
    <s v="10023001"/>
    <s v="Switchgear cable connection NIDP"/>
    <s v="0100000019"/>
    <x v="9"/>
    <s v="2C x 2.5 Sq.mm, Copper, FRLS"/>
    <d v="2024-04-04T00:00:00"/>
    <d v="2024-04-04T00:00:00"/>
    <d v="2024-04-04T00:00:00"/>
    <n v="150"/>
    <s v="AU"/>
    <n v="10500"/>
    <n v="-494.86"/>
    <n v="10005.14"/>
    <x v="0"/>
  </r>
  <r>
    <s v="109216"/>
    <s v="10023001"/>
    <s v="Switchgear cable connection NIDP"/>
    <s v="0100000019"/>
    <x v="9"/>
    <s v="4C x 2.5 Sq.mm, Copper, FRLS"/>
    <d v="2024-04-04T00:00:00"/>
    <d v="2024-04-04T00:00:00"/>
    <d v="2024-04-04T00:00:00"/>
    <n v="750"/>
    <s v="AU"/>
    <n v="90000"/>
    <n v="-4241.6499999999996"/>
    <n v="85758.35"/>
    <x v="0"/>
  </r>
  <r>
    <s v="109217"/>
    <s v="10023001"/>
    <s v="Switchgear cable connection NIDP"/>
    <s v="0100000019"/>
    <x v="9"/>
    <s v="3.5 C x 300 Sq.mm, Aluminium, XLPE, FRL LT CABLE E"/>
    <d v="2024-04-04T00:00:00"/>
    <d v="2024-04-04T00:00:00"/>
    <d v="2024-04-04T00:00:00"/>
    <n v="4"/>
    <s v="AU"/>
    <n v="7620"/>
    <n v="-359.13"/>
    <n v="7260.87"/>
    <x v="0"/>
  </r>
  <r>
    <s v="109218"/>
    <s v="10023001"/>
    <s v="Switchgear cable connection NIDP"/>
    <s v="0100000019"/>
    <x v="9"/>
    <s v="3.5 C x 95 Sq.mm, Aluminium, XLPE, FRL"/>
    <d v="2024-04-04T00:00:00"/>
    <d v="2024-04-04T00:00:00"/>
    <d v="2024-04-04T00:00:00"/>
    <n v="4"/>
    <s v="AU"/>
    <n v="2360"/>
    <n v="-111.23"/>
    <n v="2248.77"/>
    <x v="0"/>
  </r>
  <r>
    <s v="109219"/>
    <s v="10023001"/>
    <s v="Switchgear cable connection NIDP"/>
    <s v="0100000019"/>
    <x v="9"/>
    <s v="3. 5 C x 70/50 Sq.mm, Aluminium, XLPE, F"/>
    <d v="2024-04-04T00:00:00"/>
    <d v="2024-04-04T00:00:00"/>
    <d v="2024-04-04T00:00:00"/>
    <n v="4"/>
    <s v="AU"/>
    <n v="1740"/>
    <n v="-82.01"/>
    <n v="1657.99"/>
    <x v="0"/>
  </r>
  <r>
    <s v="109220"/>
    <s v="10023001"/>
    <s v="Switchgear cable connection NIDP"/>
    <s v="0100000019"/>
    <x v="9"/>
    <s v="4 C x 16 Sq.mm, Copper XLPE, FRLS"/>
    <d v="2024-04-04T00:00:00"/>
    <d v="2024-04-04T00:00:00"/>
    <d v="2024-04-04T00:00:00"/>
    <n v="12"/>
    <s v="AU"/>
    <n v="4860"/>
    <n v="-229.05"/>
    <n v="4630.95"/>
    <x v="0"/>
  </r>
  <r>
    <s v="109221"/>
    <s v="10023001"/>
    <s v="Switchgear cable connection NIDP"/>
    <s v="0100000019"/>
    <x v="9"/>
    <s v="4 C x 10 Sq.mm, Copper, XLPE, FRLS"/>
    <d v="2024-04-04T00:00:00"/>
    <d v="2024-04-04T00:00:00"/>
    <d v="2024-04-04T00:00:00"/>
    <n v="16"/>
    <s v="AU"/>
    <n v="4160"/>
    <n v="-196.06"/>
    <n v="3963.94"/>
    <x v="0"/>
  </r>
  <r>
    <s v="109222"/>
    <s v="10023001"/>
    <s v="Switchgear cable connection NIDP"/>
    <s v="0100000019"/>
    <x v="9"/>
    <s v="4 C/2C x 4 Sq.mm, Copper, XLPE, FRLS"/>
    <d v="2024-04-04T00:00:00"/>
    <d v="2024-04-04T00:00:00"/>
    <d v="2024-04-04T00:00:00"/>
    <n v="20"/>
    <s v="AU"/>
    <n v="3900"/>
    <n v="-183.8"/>
    <n v="3716.2"/>
    <x v="0"/>
  </r>
  <r>
    <s v="109223"/>
    <s v="10026001"/>
    <s v="Fittings and apparatus NIDP"/>
    <s v="0100000022"/>
    <x v="3"/>
    <s v="G.I. conduits 40MM 40 MM200000000000 597/2C/4C x 2"/>
    <d v="2024-04-04T00:00:00"/>
    <d v="2024-04-04T00:00:00"/>
    <d v="2024-04-04T00:00:00"/>
    <n v="35"/>
    <s v="AU"/>
    <n v="1225"/>
    <n v="-69.209999999999994"/>
    <n v="1155.79"/>
    <x v="0"/>
  </r>
  <r>
    <s v="109224"/>
    <s v="10026001"/>
    <s v="Fittings and apparatus NIDP"/>
    <s v="0100000022"/>
    <x v="3"/>
    <s v="32 Amp, Three phase, weather proof IEC"/>
    <d v="2024-04-04T00:00:00"/>
    <d v="2024-04-04T00:00:00"/>
    <d v="2024-04-04T00:00:00"/>
    <n v="5"/>
    <s v="AU"/>
    <n v="44450"/>
    <n v="-2511.5"/>
    <n v="41938.5"/>
    <x v="0"/>
  </r>
  <r>
    <s v="109225"/>
    <s v="10026001"/>
    <s v="Fittings and apparatus NIDP"/>
    <s v="0100000022"/>
    <x v="3"/>
    <s v="LED based Single piece Linear Light fit"/>
    <d v="2024-04-04T00:00:00"/>
    <d v="2024-04-04T00:00:00"/>
    <d v="2024-04-04T00:00:00"/>
    <n v="142"/>
    <s v="AU"/>
    <n v="857680"/>
    <n v="-48460.42"/>
    <n v="809219.58"/>
    <x v="0"/>
  </r>
  <r>
    <s v="109226"/>
    <s v="10026001"/>
    <s v="Fittings and apparatus NIDP"/>
    <s v="0100000022"/>
    <x v="3"/>
    <s v="LED based round shape decorative spotli LED based"/>
    <d v="2024-04-04T00:00:00"/>
    <d v="2024-04-04T00:00:00"/>
    <d v="2024-04-04T00:00:00"/>
    <n v="4"/>
    <s v="AU"/>
    <n v="15000"/>
    <n v="-847.53"/>
    <n v="14152.47"/>
    <x v="0"/>
  </r>
  <r>
    <s v="109227"/>
    <s v="10026001"/>
    <s v="Fittings and apparatus NIDP"/>
    <s v="0100000022"/>
    <x v="3"/>
    <s v="Occupancy Sensor capable of sensing smal"/>
    <d v="2024-04-04T00:00:00"/>
    <d v="2024-04-04T00:00:00"/>
    <d v="2024-04-04T00:00:00"/>
    <n v="40"/>
    <s v="AU"/>
    <n v="92600"/>
    <n v="-5232.0600000000004"/>
    <n v="87367.94"/>
    <x v="0"/>
  </r>
  <r>
    <s v="109228"/>
    <s v="10024001"/>
    <s v="Other Assets covered NIDP"/>
    <s v="0100000020"/>
    <x v="4"/>
    <s v="50mm x 6 mm thick GI strip welded &amp; pain S of the"/>
    <d v="2024-04-04T00:00:00"/>
    <d v="2024-04-04T00:00:00"/>
    <d v="2024-04-04T00:00:00"/>
    <n v="415"/>
    <s v="AU"/>
    <n v="128650"/>
    <n v="-6063.2"/>
    <n v="122586.8"/>
    <x v="0"/>
  </r>
  <r>
    <s v="109229"/>
    <s v="10023001"/>
    <s v="Switchgear cable connection NIDP"/>
    <s v="0100000019"/>
    <x v="9"/>
    <s v="10 Sq.mm copper,multistrand, flexible10 Sq.mm. cop"/>
    <d v="2024-04-04T00:00:00"/>
    <d v="2024-04-04T00:00:00"/>
    <d v="2024-04-04T00:00:00"/>
    <n v="100"/>
    <s v="AU"/>
    <n v="11200"/>
    <n v="-527.85"/>
    <n v="10672.15"/>
    <x v="0"/>
  </r>
  <r>
    <s v="109230"/>
    <s v="10024001"/>
    <s v="Other Assets covered NIDP"/>
    <s v="0100000020"/>
    <x v="4"/>
    <s v="900-Electric Shock Treatment chart in English and"/>
    <d v="2024-04-04T00:00:00"/>
    <d v="2024-04-04T00:00:00"/>
    <d v="2024-04-04T00:00:00"/>
    <n v="5"/>
    <s v="AU"/>
    <n v="7499.75"/>
    <n v="-353.46"/>
    <n v="7146.29"/>
    <x v="0"/>
  </r>
  <r>
    <s v="109231"/>
    <s v="10034001"/>
    <s v="Overhead lines supports NIDP"/>
    <s v="0100000029"/>
    <x v="12"/>
    <s v="Constrctn of 2nos express 220kv Electricity lines"/>
    <d v="2024-04-04T00:00:00"/>
    <d v="2024-04-04T00:00:00"/>
    <d v="2024-04-04T00:00:00"/>
    <n v="1"/>
    <s v="EA"/>
    <n v="359191030"/>
    <n v="-16928466.59"/>
    <n v="342262563.41000003"/>
    <x v="2"/>
  </r>
  <r>
    <s v="109232"/>
    <s v="10021001"/>
    <s v="Transformers (including foundations) NIDP"/>
    <s v="0100000017"/>
    <x v="1"/>
    <s v="Transformers (including foundations) Soc Cost"/>
    <d v="2024-04-04T00:00:00"/>
    <d v="2024-04-04T00:00:00"/>
    <d v="2024-04-04T00:00:00"/>
    <n v="1"/>
    <s v="EA"/>
    <n v="6395772.8200000003"/>
    <n v="-301429.09000000003"/>
    <n v="6094343.7300000004"/>
    <x v="0"/>
  </r>
  <r>
    <s v="109233"/>
    <s v="10022001"/>
    <s v="Building-Others - NIDP"/>
    <s v="0100000018"/>
    <x v="10"/>
    <s v="Building-Others (Soc Cost)"/>
    <d v="2024-04-04T00:00:00"/>
    <d v="2024-04-04T00:00:00"/>
    <d v="2024-04-04T00:00:00"/>
    <n v="1"/>
    <s v="EA"/>
    <n v="1344065.8"/>
    <n v="-40070.54"/>
    <n v="1303995.26"/>
    <x v="0"/>
  </r>
  <r>
    <s v="109234"/>
    <s v="10023001"/>
    <s v="Switchgear cable connection NIDP"/>
    <s v="0100000019"/>
    <x v="9"/>
    <s v="Switchgear including cable connections (Soc Cost)"/>
    <d v="2024-04-04T00:00:00"/>
    <d v="2024-04-04T00:00:00"/>
    <d v="2024-04-04T00:00:00"/>
    <n v="1"/>
    <s v="EA"/>
    <n v="4799607.22"/>
    <n v="-226202.73"/>
    <n v="4573404.49"/>
    <x v="0"/>
  </r>
  <r>
    <s v="109235"/>
    <s v="10024001"/>
    <s v="Other Assets covered NIDP"/>
    <s v="0100000020"/>
    <x v="4"/>
    <s v="Any other assets not covered above (Soc Cost)"/>
    <d v="2024-04-04T00:00:00"/>
    <d v="2024-04-04T00:00:00"/>
    <d v="2024-04-04T00:00:00"/>
    <n v="1"/>
    <s v="EA"/>
    <n v="907112.59"/>
    <n v="-42751.69"/>
    <n v="864360.9"/>
    <x v="0"/>
  </r>
  <r>
    <s v="109236"/>
    <s v="10025001"/>
    <s v="Batteries NIDP"/>
    <s v="0100000021"/>
    <x v="7"/>
    <s v="Batteries (Soc Cost)"/>
    <d v="2024-04-04T00:00:00"/>
    <d v="2024-04-04T00:00:00"/>
    <d v="2024-04-04T00:00:00"/>
    <n v="1"/>
    <s v="EA"/>
    <n v="52426.67"/>
    <n v="-2470.84"/>
    <n v="49955.83"/>
    <x v="0"/>
  </r>
  <r>
    <s v="109237"/>
    <s v="10026001"/>
    <s v="Fittings and apparatus NIDP"/>
    <s v="0100000022"/>
    <x v="3"/>
    <s v="Inte wiring including fittings and appa Soc cost"/>
    <d v="2024-04-04T00:00:00"/>
    <d v="2024-04-04T00:00:00"/>
    <d v="2024-04-04T00:00:00"/>
    <n v="1"/>
    <s v="EA"/>
    <n v="97517.27"/>
    <n v="-5509.9"/>
    <n v="92007.37"/>
    <x v="0"/>
  </r>
  <r>
    <s v="109238"/>
    <s v="10027001"/>
    <s v="Lightning arrestors NIDP"/>
    <s v="0100000023"/>
    <x v="2"/>
    <s v="Lightning arrestors (Soc Cost)"/>
    <d v="2024-04-04T00:00:00"/>
    <d v="2024-04-04T00:00:00"/>
    <d v="2024-04-04T00:00:00"/>
    <n v="1"/>
    <s v="EA"/>
    <n v="210955.91"/>
    <n v="-9942.23"/>
    <n v="201013.68"/>
    <x v="0"/>
  </r>
  <r>
    <s v="109239"/>
    <s v="10028001"/>
    <s v="Communication equipment NIDP"/>
    <s v="0100000024"/>
    <x v="6"/>
    <s v="Communication equipment (Soc COst)"/>
    <d v="2024-04-04T00:00:00"/>
    <d v="2024-04-04T00:00:00"/>
    <d v="2024-04-04T00:00:00"/>
    <n v="1"/>
    <s v="EA"/>
    <n v="856614.89"/>
    <n v="-48400.24"/>
    <n v="808214.65"/>
    <x v="0"/>
  </r>
  <r>
    <s v="109240"/>
    <s v="10029001"/>
    <s v="Air Static conditioning NIDP"/>
    <s v="0100000025"/>
    <x v="8"/>
    <s v="Air conditioning plants (Soc Cost)"/>
    <d v="2024-04-04T00:00:00"/>
    <d v="2024-04-04T00:00:00"/>
    <d v="2024-04-04T00:00:00"/>
    <n v="1"/>
    <s v="EA"/>
    <n v="128629.53"/>
    <n v="-6062.24"/>
    <n v="122567.29"/>
    <x v="0"/>
  </r>
  <r>
    <s v="109241"/>
    <s v="10031001"/>
    <s v="Meters - NIDP"/>
    <s v="0100000026"/>
    <x v="5"/>
    <s v="Meters (Soc Cost)"/>
    <d v="2024-04-04T00:00:00"/>
    <d v="2024-04-04T00:00:00"/>
    <d v="2024-04-04T00:00:00"/>
    <n v="1"/>
    <s v="EA"/>
    <n v="108407.5"/>
    <n v="-5109.18"/>
    <n v="103298.32"/>
    <x v="0"/>
  </r>
  <r>
    <s v="109242"/>
    <s v="10034001"/>
    <s v="Overhead lines supports NIDP"/>
    <s v="0100000029"/>
    <x v="12"/>
    <s v="Overhead lines including supports (Soc COst)"/>
    <d v="2024-04-04T00:00:00"/>
    <d v="2024-04-04T00:00:00"/>
    <d v="2024-04-04T00:00:00"/>
    <n v="1"/>
    <s v="EA"/>
    <n v="17206602.719999999"/>
    <n v="-810937.29"/>
    <n v="16395665.43"/>
    <x v="0"/>
  </r>
  <r>
    <s v="109243"/>
    <s v="10036001"/>
    <s v="IT equipment software NIDP"/>
    <s v="0100000031"/>
    <x v="11"/>
    <s v="IT equipment including software (Soc Cost)"/>
    <d v="2024-04-04T00:00:00"/>
    <d v="2024-04-04T00:00:00"/>
    <d v="2024-04-04T00:00:00"/>
    <n v="1"/>
    <s v="EA"/>
    <n v="7329.36"/>
    <n v="-981.33"/>
    <n v="6348.03"/>
    <x v="0"/>
  </r>
  <r>
    <s v="109244"/>
    <s v="10037001"/>
    <s v="Transformers (Others) NIDP"/>
    <s v="0100000032"/>
    <x v="0"/>
    <s v="Transformers (Others) (Soc Cost)"/>
    <d v="2024-04-04T00:00:00"/>
    <d v="2024-04-04T00:00:00"/>
    <d v="2024-04-04T00:00:00"/>
    <n v="1"/>
    <s v="EA"/>
    <n v="657206.02"/>
    <n v="-30973.74"/>
    <n v="626232.28"/>
    <x v="0"/>
  </r>
  <r>
    <s v="109578"/>
    <s v="10021001"/>
    <s v="Transformers (including foundations) NIDP"/>
    <s v="0100000017"/>
    <x v="1"/>
    <s v="Inst. of ACSR Conductor, LCM tower/Mast, switch et"/>
    <d v="2025-03-01T00:00:00"/>
    <d v="2024-11-05T00:00:00"/>
    <d v="2025-03-01T00:00:00"/>
    <n v="7.3"/>
    <s v="EA"/>
    <n v="322864.40000000002"/>
    <n v="-1303.06"/>
    <n v="321561.34000000003"/>
    <x v="1"/>
  </r>
  <r>
    <s v="109579"/>
    <s v="10021001"/>
    <s v="Transformers (including foundations) NIDP"/>
    <s v="0100000017"/>
    <x v="1"/>
    <s v="RCC Foundation with Rail for 220KV/11KV,40MVA Powe"/>
    <d v="2025-03-01T00:00:00"/>
    <d v="2024-10-01T00:00:00"/>
    <d v="2025-03-01T00:00:00"/>
    <n v="2.4"/>
    <s v="EA"/>
    <n v="1560000"/>
    <n v="-6296.07"/>
    <n v="1553703.93"/>
    <x v="0"/>
  </r>
  <r>
    <s v="109580"/>
    <s v="10021001"/>
    <s v="Transformers (including foundations) NIDP"/>
    <s v="0100000017"/>
    <x v="1"/>
    <s v="C_RCC_F for 220KV/11KV, 40MVA Power Transformer"/>
    <d v="2025-03-01T00:00:00"/>
    <d v="2024-10-01T00:00:00"/>
    <d v="2025-03-01T00:00:00"/>
    <n v="5"/>
    <s v="EA"/>
    <n v="250000"/>
    <n v="-1008.99"/>
    <n v="248991.01"/>
    <x v="1"/>
  </r>
  <r>
    <s v="109581"/>
    <s v="10021001"/>
    <s v="Transformers (including foundations) NIDP"/>
    <s v="0100000017"/>
    <x v="1"/>
    <s v="Construction Oil Soak Pit"/>
    <d v="2025-03-01T00:00:00"/>
    <d v="2024-10-01T00:00:00"/>
    <d v="2025-03-01T00:00:00"/>
    <n v="5"/>
    <s v="EA"/>
    <n v="125000"/>
    <n v="-504.49"/>
    <n v="124495.51"/>
    <x v="1"/>
  </r>
  <r>
    <s v="109582"/>
    <s v="10021001"/>
    <s v="Transformers (including foundations) NIDP"/>
    <s v="0100000017"/>
    <x v="1"/>
    <s v="Transformer fire wall between 220/11KV, 40MVA Powe"/>
    <d v="2025-03-01T00:00:00"/>
    <d v="2024-10-01T00:00:00"/>
    <d v="2025-03-01T00:00:00"/>
    <n v="4"/>
    <s v="EA"/>
    <n v="2560000"/>
    <n v="-10332.02"/>
    <n v="2549667.98"/>
    <x v="1"/>
  </r>
  <r>
    <s v="109583"/>
    <s v="10021001"/>
    <s v="Transformers (including foundations) NIDP"/>
    <s v="0100000017"/>
    <x v="1"/>
    <s v="Foundation of LCLM mast"/>
    <d v="2025-03-01T00:00:00"/>
    <d v="2024-10-01T00:00:00"/>
    <d v="2025-03-01T00:00:00"/>
    <n v="1"/>
    <s v="EA"/>
    <n v="420000"/>
    <n v="-1695.1"/>
    <n v="418304.9"/>
    <x v="0"/>
  </r>
  <r>
    <s v="109584"/>
    <s v="10021001"/>
    <s v="Transformers (including foundations) NIDP"/>
    <s v="0100000017"/>
    <x v="1"/>
    <s v="Anti Weed Treatment"/>
    <d v="2025-03-01T00:00:00"/>
    <d v="2024-10-01T00:00:00"/>
    <d v="2025-03-01T00:00:00"/>
    <n v="1"/>
    <s v="EA"/>
    <n v="56500"/>
    <n v="-228.03"/>
    <n v="56271.97"/>
    <x v="0"/>
  </r>
  <r>
    <s v="109585"/>
    <s v="10021001"/>
    <s v="Transformers (including foundations) NIDP"/>
    <s v="0100000017"/>
    <x v="1"/>
    <s v="Jelly metal spreading 40/20mm jelly"/>
    <d v="2025-03-01T00:00:00"/>
    <d v="2024-11-13T00:00:00"/>
    <d v="2025-03-01T00:00:00"/>
    <n v="1"/>
    <s v="EA"/>
    <n v="550000.02"/>
    <n v="-2219.77"/>
    <n v="547780.25"/>
    <x v="1"/>
  </r>
  <r>
    <s v="109586"/>
    <s v="10021001"/>
    <s v="Transformers (including foundations) NIDP"/>
    <s v="0100000017"/>
    <x v="1"/>
    <s v="Construction of Cable Trench Tray Araangement"/>
    <d v="2025-03-01T00:00:00"/>
    <d v="2024-11-13T00:00:00"/>
    <d v="2025-03-01T00:00:00"/>
    <n v="0.5"/>
    <s v="EA"/>
    <n v="982499.48"/>
    <n v="-3965.31"/>
    <n v="978534.17"/>
    <x v="0"/>
  </r>
  <r>
    <s v="109587"/>
    <s v="10021001"/>
    <s v="Transformers (including foundations) NIDP"/>
    <s v="0100000017"/>
    <x v="1"/>
    <s v="Drainage Arrangement"/>
    <d v="2025-03-01T00:00:00"/>
    <d v="2024-11-13T00:00:00"/>
    <d v="2025-03-01T00:00:00"/>
    <n v="0.81"/>
    <s v="EA"/>
    <n v="750870"/>
    <n v="-3030.47"/>
    <n v="747839.53"/>
    <x v="0"/>
  </r>
  <r>
    <s v="109588"/>
    <s v="10023001"/>
    <s v="Switchgear cable connection NIDP"/>
    <s v="0100000019"/>
    <x v="9"/>
    <s v="ITC of MAIN LTAC panel With 1000A,415V,4W, 16KVA"/>
    <d v="2025-03-01T00:00:00"/>
    <d v="2024-10-14T00:00:00"/>
    <d v="2025-03-01T00:00:00"/>
    <n v="2"/>
    <s v="AU"/>
    <n v="32358.48"/>
    <n v="-130.6"/>
    <n v="32227.88"/>
    <x v="0"/>
  </r>
  <r>
    <s v="109589"/>
    <s v="10028001"/>
    <s v="Communication equipment NIDP"/>
    <s v="0100000024"/>
    <x v="6"/>
    <s v="ITC of FOTE Panel with 04 direction STM-16 suitabl"/>
    <d v="2025-03-01T00:00:00"/>
    <d v="2024-10-14T00:00:00"/>
    <d v="2025-03-01T00:00:00"/>
    <n v="3"/>
    <s v="AU"/>
    <n v="304997.27"/>
    <n v="-1475.74"/>
    <n v="303521.53000000003"/>
    <x v="0"/>
  </r>
  <r>
    <s v="109590"/>
    <s v="10025001"/>
    <s v="Batteries NIDP"/>
    <s v="0100000021"/>
    <x v="7"/>
    <s v="ITC of 200AH, 48V DC, Float cum Boost Charger i bu"/>
    <d v="2025-03-01T00:00:00"/>
    <d v="2024-10-14T00:00:00"/>
    <d v="2025-03-01T00:00:00"/>
    <n v="1"/>
    <s v="AU"/>
    <n v="30000.02"/>
    <n v="-121.08"/>
    <n v="29878.94"/>
    <x v="0"/>
  </r>
  <r>
    <s v="109591"/>
    <s v="10025001"/>
    <s v="Batteries NIDP"/>
    <s v="0100000021"/>
    <x v="7"/>
    <s v="ITC of 200AH, 48V VRLA type Batteries"/>
    <d v="2025-03-01T00:00:00"/>
    <d v="2024-10-14T00:00:00"/>
    <d v="2025-03-01T00:00:00"/>
    <n v="1"/>
    <s v="AU"/>
    <n v="25002"/>
    <n v="-100.91"/>
    <n v="24901.09"/>
    <x v="0"/>
  </r>
  <r>
    <s v="109592"/>
    <s v="10023001"/>
    <s v="Switchgear cable connection NIDP"/>
    <s v="0100000019"/>
    <x v="9"/>
    <s v="ITC of Numerical Relay Differential Protection Rel"/>
    <d v="2025-03-01T00:00:00"/>
    <d v="2024-10-14T00:00:00"/>
    <d v="2025-03-01T00:00:00"/>
    <n v="1"/>
    <s v="AU"/>
    <n v="26354.05"/>
    <n v="-106.36"/>
    <n v="26247.69"/>
    <x v="0"/>
  </r>
  <r>
    <s v="109593"/>
    <s v="10023001"/>
    <s v="Switchgear cable connection NIDP"/>
    <s v="0100000019"/>
    <x v="9"/>
    <s v="ITC of Numerical Relay Line Distance with Differen"/>
    <d v="2025-03-01T00:00:00"/>
    <d v="2024-10-14T00:00:00"/>
    <d v="2025-03-01T00:00:00"/>
    <n v="1"/>
    <s v="AU"/>
    <n v="26354.05"/>
    <n v="-106.36"/>
    <n v="26247.69"/>
    <x v="0"/>
  </r>
  <r>
    <s v="109594"/>
    <s v="10023001"/>
    <s v="Switchgear cable connection NIDP"/>
    <s v="0100000019"/>
    <x v="9"/>
    <s v="ITC of Numerical Relay Differential protection rel"/>
    <d v="2025-03-01T00:00:00"/>
    <d v="2024-10-14T00:00:00"/>
    <d v="2025-03-01T00:00:00"/>
    <n v="1"/>
    <s v="AU"/>
    <n v="26354.05"/>
    <n v="-106.36"/>
    <n v="26247.69"/>
    <x v="0"/>
  </r>
  <r>
    <s v="109595"/>
    <s v="10023001"/>
    <s v="Switchgear cable connection NIDP"/>
    <s v="0100000019"/>
    <x v="9"/>
    <s v="ITC of Numerical Relay Line Distance with Differen"/>
    <d v="2025-03-01T00:00:00"/>
    <d v="2024-10-14T00:00:00"/>
    <d v="2025-03-01T00:00:00"/>
    <n v="1"/>
    <s v="AU"/>
    <n v="26354.05"/>
    <n v="-106.36"/>
    <n v="26247.69"/>
    <x v="0"/>
  </r>
  <r>
    <s v="109596"/>
    <s v="10023001"/>
    <s v="Switchgear cable connection NIDP"/>
    <s v="0100000019"/>
    <x v="9"/>
    <s v="ITC of Numerical Relay Differential Protection Rel"/>
    <d v="2025-03-01T00:00:00"/>
    <d v="2024-10-14T00:00:00"/>
    <d v="2025-03-01T00:00:00"/>
    <n v="1"/>
    <s v="AU"/>
    <n v="26354.05"/>
    <n v="-106.36"/>
    <n v="26247.69"/>
    <x v="0"/>
  </r>
  <r>
    <s v="109597"/>
    <s v="10023001"/>
    <s v="Switchgear cable connection NIDP"/>
    <s v="0100000019"/>
    <x v="9"/>
    <s v="ITC of integration 2 nos Relay with Exist SCADA in"/>
    <d v="2025-03-01T00:00:00"/>
    <d v="2024-10-14T00:00:00"/>
    <d v="2025-03-01T00:00:00"/>
    <n v="1"/>
    <s v="AU"/>
    <n v="1045000"/>
    <n v="-4217.5600000000004"/>
    <n v="1040782.44"/>
    <x v="1"/>
  </r>
  <r>
    <s v="109598"/>
    <s v="10023001"/>
    <s v="Switchgear cable connection NIDP"/>
    <s v="0100000019"/>
    <x v="9"/>
    <s v="SCADA integration 2 nos Relay with Exist SCADA int"/>
    <d v="2025-03-01T00:00:00"/>
    <d v="2024-10-14T00:00:00"/>
    <d v="2025-03-01T00:00:00"/>
    <n v="1"/>
    <s v="AU"/>
    <n v="1045000"/>
    <n v="-4217.5600000000004"/>
    <n v="1040782.44"/>
    <x v="0"/>
  </r>
  <r>
    <s v="109599"/>
    <s v="10029001"/>
    <s v="Air Static conditioning NIDP"/>
    <s v="0100000025"/>
    <x v="8"/>
    <s v="SITC of HVAC Work Substation-2 -NIDP"/>
    <d v="2025-03-01T00:00:00"/>
    <d v="2025-01-02T00:00:00"/>
    <d v="2025-03-01T00:00:00"/>
    <n v="1"/>
    <s v="EA"/>
    <n v="236494.92"/>
    <n v="-954.48"/>
    <n v="235540.44"/>
    <x v="0"/>
  </r>
  <r>
    <s v="109600"/>
    <s v="10021001"/>
    <s v="Transformers (including foundations) NIDP"/>
    <s v="0100000017"/>
    <x v="1"/>
    <s v="SITC of HVAC Work Substation-2 -NIDP"/>
    <d v="2025-03-01T00:00:00"/>
    <d v="2024-10-25T00:00:00"/>
    <d v="2025-03-01T00:00:00"/>
    <n v="1"/>
    <s v="AU"/>
    <n v="619144.06000000006"/>
    <n v="-2498.83"/>
    <n v="616645.23"/>
    <x v="0"/>
  </r>
  <r>
    <s v="109601"/>
    <s v="10024001"/>
    <s v="Other Assets covered NIDP"/>
    <s v="0100000020"/>
    <x v="4"/>
    <s v="Installation Charges for CCTV Surveillance System"/>
    <d v="2025-03-01T00:00:00"/>
    <d v="2024-08-13T00:00:00"/>
    <d v="2025-03-01T00:00:00"/>
    <n v="1"/>
    <s v="EA"/>
    <n v="176351.78"/>
    <n v="-711.75"/>
    <n v="175640.03"/>
    <x v="0"/>
  </r>
  <r>
    <s v="109602"/>
    <s v="10024001"/>
    <s v="Other Assets covered NIDP"/>
    <s v="0100000020"/>
    <x v="4"/>
    <s v="Installation Charges for Access Control System"/>
    <d v="2025-03-01T00:00:00"/>
    <d v="2024-08-13T00:00:00"/>
    <d v="2025-03-01T00:00:00"/>
    <n v="1"/>
    <s v="EA"/>
    <n v="118937.2"/>
    <n v="-480.02"/>
    <n v="118457.18"/>
    <x v="0"/>
  </r>
  <r>
    <s v="109603"/>
    <s v="10024001"/>
    <s v="Other Assets covered NIDP"/>
    <s v="0100000020"/>
    <x v="4"/>
    <s v="Installation Charges for Cable Tray &amp; Conduits"/>
    <d v="2025-03-01T00:00:00"/>
    <d v="2024-08-13T00:00:00"/>
    <d v="2025-03-01T00:00:00"/>
    <n v="1"/>
    <s v="EA"/>
    <n v="11000"/>
    <n v="-44.4"/>
    <n v="10955.6"/>
    <x v="0"/>
  </r>
  <r>
    <s v="109604"/>
    <s v="10031001"/>
    <s v="Meters - NIDP"/>
    <s v="0100000026"/>
    <x v="5"/>
    <s v="Inst of ABT Meter &amp; Compliant Energy Meter Rs 485"/>
    <d v="2025-03-01T00:00:00"/>
    <d v="2024-10-04T00:00:00"/>
    <d v="2025-03-01T00:00:00"/>
    <n v="1"/>
    <s v="SET"/>
    <n v="13047.46"/>
    <n v="-52.66"/>
    <n v="12994.8"/>
    <x v="0"/>
  </r>
  <r>
    <s v="109605"/>
    <s v="10022001"/>
    <s v="Building-Others - NIDP"/>
    <s v="0100000018"/>
    <x v="10"/>
    <s v="CIVIL WORKS-NIDP DEVELOPERS PRIVAT LIMITED"/>
    <d v="2025-03-01T00:00:00"/>
    <d v="2025-03-01T00:00:00"/>
    <d v="2025-03-01T00:00:00"/>
    <n v="1"/>
    <s v="EA"/>
    <n v="9624674.5800000001"/>
    <n v="-24572.19"/>
    <n v="9600102.3900000006"/>
    <x v="0"/>
  </r>
  <r>
    <s v="109606"/>
    <s v="10022001"/>
    <s v="Building-Others - NIDP"/>
    <s v="0100000018"/>
    <x v="10"/>
    <s v="15 U(800 mm W x 800 mm D)"/>
    <d v="2025-03-01T00:00:00"/>
    <d v="2025-03-01T00:00:00"/>
    <d v="2025-03-01T00:00:00"/>
    <n v="1"/>
    <s v="NOS"/>
    <n v="17639.830000000002"/>
    <n v="-45.04"/>
    <n v="17594.79"/>
    <x v="0"/>
  </r>
  <r>
    <s v="109607"/>
    <s v="10022001"/>
    <s v="Building-Others - NIDP"/>
    <s v="0100000018"/>
    <x v="10"/>
    <s v="EBELCO 1200D-LED (Double leaf Door-1200LB)"/>
    <d v="2025-03-01T00:00:00"/>
    <d v="2025-03-01T00:00:00"/>
    <d v="2025-03-01T00:00:00"/>
    <n v="1"/>
    <s v="NOS"/>
    <n v="14700"/>
    <n v="-37.53"/>
    <n v="14662.47"/>
    <x v="0"/>
  </r>
  <r>
    <s v="109608"/>
    <s v="10021001"/>
    <s v="Transformers (including foundations) NIDP"/>
    <s v="0100000017"/>
    <x v="1"/>
    <s v="Supply and Installation of civil work"/>
    <d v="2025-03-01T00:00:00"/>
    <d v="2025-03-01T00:00:00"/>
    <d v="2025-03-01T00:00:00"/>
    <n v="1"/>
    <s v="NOS"/>
    <n v="540109.31999999995"/>
    <n v="-2179.85"/>
    <n v="537929.47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DF3C59-C73C-4AEE-BBDB-D45041E51791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E18" firstHeaderRow="1" firstDataRow="2" firstDataCol="1"/>
  <pivotFields count="15">
    <pivotField showAll="0"/>
    <pivotField showAll="0"/>
    <pivotField showAll="0"/>
    <pivotField showAll="0"/>
    <pivotField axis="axisRow" showAll="0">
      <items count="14">
        <item x="8"/>
        <item x="4"/>
        <item x="7"/>
        <item x="10"/>
        <item x="6"/>
        <item x="3"/>
        <item x="11"/>
        <item x="2"/>
        <item x="5"/>
        <item x="12"/>
        <item x="9"/>
        <item x="1"/>
        <item x="0"/>
        <item t="default"/>
      </items>
    </pivotField>
    <pivotField showAll="0"/>
    <pivotField numFmtId="14" showAll="0"/>
    <pivotField showAll="0"/>
    <pivotField showAll="0"/>
    <pivotField numFmtId="164" showAll="0"/>
    <pivotField showAll="0"/>
    <pivotField dataField="1" numFmtId="43" showAll="0"/>
    <pivotField numFmtId="4" showAll="0"/>
    <pivotField numFmtId="4" showAll="0"/>
    <pivotField axis="axisCol" showAll="0">
      <items count="9">
        <item m="1" x="3"/>
        <item x="0"/>
        <item m="1" x="4"/>
        <item m="1" x="6"/>
        <item m="1" x="5"/>
        <item x="1"/>
        <item m="1" x="7"/>
        <item x="2"/>
        <item t="default"/>
      </items>
    </pivotField>
  </pivotFields>
  <rowFields count="1">
    <field x="4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14"/>
  </colFields>
  <colItems count="4">
    <i>
      <x v="1"/>
    </i>
    <i>
      <x v="5"/>
    </i>
    <i>
      <x v="7"/>
    </i>
    <i t="grand">
      <x/>
    </i>
  </colItems>
  <dataFields count="1">
    <dataField name="Sum of     Acquis.val." fld="11" baseField="0" baseItem="0" numFmtId="43"/>
  </dataFields>
  <formats count="22">
    <format dxfId="50">
      <pivotArea field="4" type="button" dataOnly="0" labelOnly="1" outline="0" axis="axisRow" fieldPosition="0"/>
    </format>
    <format dxfId="49">
      <pivotArea dataOnly="0" labelOnly="1" fieldPosition="0">
        <references count="1">
          <reference field="14" count="0"/>
        </references>
      </pivotArea>
    </format>
    <format dxfId="48">
      <pivotArea dataOnly="0" labelOnly="1" grandCol="1" outline="0" fieldPosition="0"/>
    </format>
    <format dxfId="47">
      <pivotArea field="4" type="button" dataOnly="0" labelOnly="1" outline="0" axis="axisRow" fieldPosition="0"/>
    </format>
    <format dxfId="46">
      <pivotArea dataOnly="0" labelOnly="1" fieldPosition="0">
        <references count="1">
          <reference field="14" count="0"/>
        </references>
      </pivotArea>
    </format>
    <format dxfId="45">
      <pivotArea dataOnly="0" labelOnly="1" grandCol="1" outline="0" fieldPosition="0"/>
    </format>
    <format dxfId="44">
      <pivotArea field="4" type="button" dataOnly="0" labelOnly="1" outline="0" axis="axisRow" fieldPosition="0"/>
    </format>
    <format dxfId="43">
      <pivotArea dataOnly="0" labelOnly="1" fieldPosition="0">
        <references count="1">
          <reference field="14" count="0"/>
        </references>
      </pivotArea>
    </format>
    <format dxfId="42">
      <pivotArea dataOnly="0" labelOnly="1" grandCol="1" outline="0" fieldPosition="0"/>
    </format>
    <format dxfId="41">
      <pivotArea type="all" dataOnly="0" outline="0" fieldPosition="0"/>
    </format>
    <format dxfId="40">
      <pivotArea outline="0" collapsedLevelsAreSubtotals="1" fieldPosition="0"/>
    </format>
    <format dxfId="39">
      <pivotArea type="origin" dataOnly="0" labelOnly="1" outline="0" fieldPosition="0"/>
    </format>
    <format dxfId="38">
      <pivotArea field="14" type="button" dataOnly="0" labelOnly="1" outline="0" axis="axisCol" fieldPosition="0"/>
    </format>
    <format dxfId="37">
      <pivotArea type="topRight" dataOnly="0" labelOnly="1" outline="0" fieldPosition="0"/>
    </format>
    <format dxfId="36">
      <pivotArea field="4" type="button" dataOnly="0" labelOnly="1" outline="0" axis="axisRow" fieldPosition="0"/>
    </format>
    <format dxfId="35">
      <pivotArea dataOnly="0" labelOnly="1" fieldPosition="0">
        <references count="1">
          <reference field="4" count="0"/>
        </references>
      </pivotArea>
    </format>
    <format dxfId="34">
      <pivotArea dataOnly="0" labelOnly="1" grandRow="1" outline="0" fieldPosition="0"/>
    </format>
    <format dxfId="33">
      <pivotArea dataOnly="0" labelOnly="1" fieldPosition="0">
        <references count="1">
          <reference field="14" count="0"/>
        </references>
      </pivotArea>
    </format>
    <format dxfId="32">
      <pivotArea dataOnly="0" labelOnly="1" grandCol="1" outline="0" fieldPosition="0"/>
    </format>
    <format dxfId="31">
      <pivotArea outline="0" collapsedLevelsAreSubtotals="1" fieldPosition="0"/>
    </format>
    <format dxfId="30">
      <pivotArea dataOnly="0" labelOnly="1" fieldPosition="0">
        <references count="1">
          <reference field="4" count="0"/>
        </references>
      </pivotArea>
    </format>
    <format dxfId="29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2E4D7D-6164-449B-8956-E5BB18B7E251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E18" firstHeaderRow="1" firstDataRow="2" firstDataCol="1"/>
  <pivotFields count="15">
    <pivotField showAll="0"/>
    <pivotField showAll="0"/>
    <pivotField showAll="0"/>
    <pivotField showAll="0"/>
    <pivotField axis="axisRow" showAll="0">
      <items count="14">
        <item x="8"/>
        <item x="4"/>
        <item x="7"/>
        <item x="10"/>
        <item x="6"/>
        <item x="3"/>
        <item x="11"/>
        <item x="2"/>
        <item x="5"/>
        <item x="12"/>
        <item x="9"/>
        <item x="1"/>
        <item x="0"/>
        <item t="default"/>
      </items>
    </pivotField>
    <pivotField showAll="0"/>
    <pivotField numFmtId="14" showAll="0"/>
    <pivotField showAll="0"/>
    <pivotField showAll="0"/>
    <pivotField numFmtId="164" showAll="0"/>
    <pivotField showAll="0"/>
    <pivotField numFmtId="43" showAll="0"/>
    <pivotField dataField="1" numFmtId="4" showAll="0"/>
    <pivotField numFmtId="4" showAll="0"/>
    <pivotField axis="axisCol" showAll="0">
      <items count="9">
        <item m="1" x="3"/>
        <item x="0"/>
        <item m="1" x="4"/>
        <item m="1" x="6"/>
        <item m="1" x="5"/>
        <item x="1"/>
        <item m="1" x="7"/>
        <item x="2"/>
        <item t="default"/>
      </items>
    </pivotField>
  </pivotFields>
  <rowFields count="1">
    <field x="4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14"/>
  </colFields>
  <colItems count="4">
    <i>
      <x v="1"/>
    </i>
    <i>
      <x v="5"/>
    </i>
    <i>
      <x v="7"/>
    </i>
    <i t="grand">
      <x/>
    </i>
  </colItems>
  <dataFields count="1">
    <dataField name="Sum of      Accum.dep." fld="12" baseField="0" baseItem="0" numFmtId="4"/>
  </dataFields>
  <formats count="29">
    <format dxfId="28">
      <pivotArea type="all" dataOnly="0" outline="0" fieldPosition="0"/>
    </format>
    <format dxfId="27">
      <pivotArea outline="0" collapsedLevelsAreSubtotals="1" fieldPosition="0"/>
    </format>
    <format dxfId="26">
      <pivotArea type="origin" dataOnly="0" labelOnly="1" outline="0" fieldPosition="0"/>
    </format>
    <format dxfId="25">
      <pivotArea field="14" type="button" dataOnly="0" labelOnly="1" outline="0" axis="axisCol" fieldPosition="0"/>
    </format>
    <format dxfId="24">
      <pivotArea type="topRight" dataOnly="0" labelOnly="1" outline="0" fieldPosition="0"/>
    </format>
    <format dxfId="23">
      <pivotArea field="4" type="button" dataOnly="0" labelOnly="1" outline="0" axis="axisRow" fieldPosition="0"/>
    </format>
    <format dxfId="22">
      <pivotArea dataOnly="0" labelOnly="1" fieldPosition="0">
        <references count="1">
          <reference field="4" count="0"/>
        </references>
      </pivotArea>
    </format>
    <format dxfId="21">
      <pivotArea dataOnly="0" labelOnly="1" grandRow="1" outline="0" fieldPosition="0"/>
    </format>
    <format dxfId="20">
      <pivotArea dataOnly="0" labelOnly="1" fieldPosition="0">
        <references count="1">
          <reference field="14" count="0"/>
        </references>
      </pivotArea>
    </format>
    <format dxfId="19">
      <pivotArea dataOnly="0" labelOnly="1" grandCol="1" outline="0" fieldPosition="0"/>
    </format>
    <format dxfId="18">
      <pivotArea field="4" type="button" dataOnly="0" labelOnly="1" outline="0" axis="axisRow" fieldPosition="0"/>
    </format>
    <format dxfId="17">
      <pivotArea dataOnly="0" labelOnly="1" fieldPosition="0">
        <references count="1">
          <reference field="14" count="0"/>
        </references>
      </pivotArea>
    </format>
    <format dxfId="16">
      <pivotArea dataOnly="0" labelOnly="1" grandCol="1" outline="0" fieldPosition="0"/>
    </format>
    <format dxfId="15">
      <pivotArea field="4" type="button" dataOnly="0" labelOnly="1" outline="0" axis="axisRow" fieldPosition="0"/>
    </format>
    <format dxfId="14">
      <pivotArea dataOnly="0" labelOnly="1" fieldPosition="0">
        <references count="1">
          <reference field="14" count="0"/>
        </references>
      </pivotArea>
    </format>
    <format dxfId="13">
      <pivotArea dataOnly="0" labelOnly="1" grandCol="1" outline="0" fieldPosition="0"/>
    </format>
    <format dxfId="12">
      <pivotArea type="all" dataOnly="0" outline="0" fieldPosition="0"/>
    </format>
    <format dxfId="11">
      <pivotArea outline="0" collapsedLevelsAreSubtotals="1" fieldPosition="0"/>
    </format>
    <format dxfId="10">
      <pivotArea type="origin" dataOnly="0" labelOnly="1" outline="0" fieldPosition="0"/>
    </format>
    <format dxfId="9">
      <pivotArea field="14" type="button" dataOnly="0" labelOnly="1" outline="0" axis="axisCol" fieldPosition="0"/>
    </format>
    <format dxfId="8">
      <pivotArea type="topRight" dataOnly="0" labelOnly="1" outline="0" fieldPosition="0"/>
    </format>
    <format dxfId="7">
      <pivotArea field="4" type="button" dataOnly="0" labelOnly="1" outline="0" axis="axisRow" fieldPosition="0"/>
    </format>
    <format dxfId="6">
      <pivotArea dataOnly="0" labelOnly="1" fieldPosition="0">
        <references count="1">
          <reference field="4" count="0"/>
        </references>
      </pivotArea>
    </format>
    <format dxfId="5">
      <pivotArea dataOnly="0" labelOnly="1" grandRow="1" outline="0" fieldPosition="0"/>
    </format>
    <format dxfId="4">
      <pivotArea dataOnly="0" labelOnly="1" fieldPosition="0">
        <references count="1">
          <reference field="14" count="0"/>
        </references>
      </pivotArea>
    </format>
    <format dxfId="3">
      <pivotArea dataOnly="0" labelOnly="1" grandCol="1" outline="0" fieldPosition="0"/>
    </format>
    <format dxfId="2">
      <pivotArea outline="0" collapsedLevelsAreSubtotals="1" fieldPosition="0"/>
    </format>
    <format dxfId="1">
      <pivotArea dataOnly="0" labelOnly="1" fieldPosition="0">
        <references count="1">
          <reference field="4" count="0"/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17E20-1537-4778-BF78-0105637D2EC4}">
  <sheetPr>
    <pageSetUpPr fitToPage="1"/>
  </sheetPr>
  <dimension ref="A2:J18"/>
  <sheetViews>
    <sheetView view="pageBreakPreview" topLeftCell="A12" zoomScaleNormal="85" zoomScaleSheetLayoutView="100" workbookViewId="0">
      <selection activeCell="G7" sqref="G7"/>
    </sheetView>
  </sheetViews>
  <sheetFormatPr defaultRowHeight="14.25" x14ac:dyDescent="0.45"/>
  <cols>
    <col min="1" max="1" width="37.53125" bestFit="1" customWidth="1"/>
    <col min="2" max="2" width="15.53125" bestFit="1" customWidth="1"/>
    <col min="3" max="3" width="15.1328125" bestFit="1" customWidth="1"/>
    <col min="4" max="4" width="17.86328125" customWidth="1"/>
    <col min="5" max="5" width="15.1328125" bestFit="1" customWidth="1"/>
    <col min="6" max="8" width="14.796875" customWidth="1"/>
    <col min="9" max="9" width="15.46484375" customWidth="1"/>
    <col min="10" max="10" width="15.1328125" bestFit="1" customWidth="1"/>
  </cols>
  <sheetData>
    <row r="2" spans="1:10" s="4" customFormat="1" ht="21.4" customHeight="1" x14ac:dyDescent="0.45">
      <c r="A2" s="38" t="s">
        <v>888</v>
      </c>
      <c r="B2" s="39"/>
      <c r="C2" s="39"/>
      <c r="D2" s="39"/>
      <c r="E2" s="40"/>
    </row>
    <row r="3" spans="1:10" x14ac:dyDescent="0.45">
      <c r="A3" s="5" t="s">
        <v>857</v>
      </c>
      <c r="B3" s="5" t="s">
        <v>856</v>
      </c>
      <c r="C3" s="6"/>
      <c r="D3" s="6"/>
      <c r="E3" s="6"/>
    </row>
    <row r="4" spans="1:10" s="3" customFormat="1" ht="30.6" customHeight="1" x14ac:dyDescent="0.45">
      <c r="A4" s="7" t="s">
        <v>854</v>
      </c>
      <c r="B4" s="8" t="s">
        <v>22</v>
      </c>
      <c r="C4" s="8" t="s">
        <v>102</v>
      </c>
      <c r="D4" s="8" t="s">
        <v>769</v>
      </c>
      <c r="E4" s="8" t="s">
        <v>855</v>
      </c>
      <c r="F4"/>
      <c r="G4"/>
      <c r="H4"/>
      <c r="I4"/>
      <c r="J4"/>
    </row>
    <row r="5" spans="1:10" s="4" customFormat="1" ht="23.35" customHeight="1" x14ac:dyDescent="0.45">
      <c r="A5" s="11" t="s">
        <v>200</v>
      </c>
      <c r="B5" s="13">
        <v>4318964.2699999996</v>
      </c>
      <c r="C5" s="13"/>
      <c r="D5" s="13"/>
      <c r="E5" s="13">
        <v>4318964.2699999996</v>
      </c>
    </row>
    <row r="6" spans="1:10" s="4" customFormat="1" ht="23.35" customHeight="1" x14ac:dyDescent="0.45">
      <c r="A6" s="11" t="s">
        <v>81</v>
      </c>
      <c r="B6" s="13">
        <v>16316884.345454544</v>
      </c>
      <c r="C6" s="13">
        <v>12779525.454545453</v>
      </c>
      <c r="D6" s="13"/>
      <c r="E6" s="13">
        <v>29096409.799999997</v>
      </c>
    </row>
    <row r="7" spans="1:10" s="4" customFormat="1" ht="23.35" customHeight="1" x14ac:dyDescent="0.45">
      <c r="A7" s="11" t="s">
        <v>172</v>
      </c>
      <c r="B7" s="13">
        <v>839929.53</v>
      </c>
      <c r="C7" s="13">
        <v>879000</v>
      </c>
      <c r="D7" s="13"/>
      <c r="E7" s="13">
        <v>1718929.53</v>
      </c>
    </row>
    <row r="8" spans="1:10" s="4" customFormat="1" ht="23.35" customHeight="1" x14ac:dyDescent="0.45">
      <c r="A8" s="11" t="s">
        <v>426</v>
      </c>
      <c r="B8" s="13">
        <v>52214196.219999999</v>
      </c>
      <c r="C8" s="13">
        <v>101048</v>
      </c>
      <c r="D8" s="13"/>
      <c r="E8" s="13">
        <v>52315244.219999999</v>
      </c>
    </row>
    <row r="9" spans="1:10" s="4" customFormat="1" ht="23.35" customHeight="1" x14ac:dyDescent="0.45">
      <c r="A9" s="11" t="s">
        <v>163</v>
      </c>
      <c r="B9" s="13">
        <v>27492412.16</v>
      </c>
      <c r="C9" s="13"/>
      <c r="D9" s="13"/>
      <c r="E9" s="13">
        <v>27492412.16</v>
      </c>
    </row>
    <row r="10" spans="1:10" s="4" customFormat="1" ht="23.35" customHeight="1" x14ac:dyDescent="0.45">
      <c r="A10" s="11" t="s">
        <v>73</v>
      </c>
      <c r="B10" s="13">
        <v>3095021.5900000003</v>
      </c>
      <c r="C10" s="13"/>
      <c r="D10" s="13"/>
      <c r="E10" s="13">
        <v>3095021.5900000003</v>
      </c>
    </row>
    <row r="11" spans="1:10" s="4" customFormat="1" ht="23.35" customHeight="1" x14ac:dyDescent="0.45">
      <c r="A11" s="11" t="s">
        <v>644</v>
      </c>
      <c r="B11" s="13">
        <v>232620.88000000003</v>
      </c>
      <c r="C11" s="13"/>
      <c r="D11" s="13"/>
      <c r="E11" s="13">
        <v>232620.88000000003</v>
      </c>
    </row>
    <row r="12" spans="1:10" s="4" customFormat="1" ht="23.35" customHeight="1" x14ac:dyDescent="0.45">
      <c r="A12" s="11" t="s">
        <v>67</v>
      </c>
      <c r="B12" s="13">
        <v>3148907.33</v>
      </c>
      <c r="C12" s="13">
        <v>3546453.42</v>
      </c>
      <c r="D12" s="13"/>
      <c r="E12" s="13">
        <v>6695360.75</v>
      </c>
    </row>
    <row r="13" spans="1:10" s="4" customFormat="1" ht="23.35" customHeight="1" x14ac:dyDescent="0.45">
      <c r="A13" s="11" t="s">
        <v>99</v>
      </c>
      <c r="B13" s="13">
        <v>3112289.74</v>
      </c>
      <c r="C13" s="13">
        <v>341416</v>
      </c>
      <c r="D13" s="13"/>
      <c r="E13" s="13">
        <v>3453705.74</v>
      </c>
    </row>
    <row r="14" spans="1:10" s="4" customFormat="1" ht="23.35" customHeight="1" x14ac:dyDescent="0.45">
      <c r="A14" s="11" t="s">
        <v>767</v>
      </c>
      <c r="B14" s="13">
        <v>17206602.719999999</v>
      </c>
      <c r="C14" s="13"/>
      <c r="D14" s="13">
        <v>359191030</v>
      </c>
      <c r="E14" s="13">
        <v>376397632.72000003</v>
      </c>
    </row>
    <row r="15" spans="1:10" s="4" customFormat="1" ht="23.35" customHeight="1" x14ac:dyDescent="0.45">
      <c r="A15" s="11" t="s">
        <v>397</v>
      </c>
      <c r="B15" s="13">
        <v>91581650.779090896</v>
      </c>
      <c r="C15" s="13">
        <v>62730372.670909092</v>
      </c>
      <c r="D15" s="13"/>
      <c r="E15" s="13">
        <v>154312023.44999999</v>
      </c>
    </row>
    <row r="16" spans="1:10" s="4" customFormat="1" ht="23.35" customHeight="1" x14ac:dyDescent="0.45">
      <c r="A16" s="11" t="s">
        <v>60</v>
      </c>
      <c r="B16" s="13">
        <v>135889308.11393937</v>
      </c>
      <c r="C16" s="13">
        <v>75837997.5060606</v>
      </c>
      <c r="D16" s="13"/>
      <c r="E16" s="13">
        <v>211727305.61999997</v>
      </c>
    </row>
    <row r="17" spans="1:5" s="4" customFormat="1" ht="23.35" customHeight="1" x14ac:dyDescent="0.45">
      <c r="A17" s="11" t="s">
        <v>19</v>
      </c>
      <c r="B17" s="13">
        <v>13814585.4</v>
      </c>
      <c r="C17" s="13">
        <v>7043952</v>
      </c>
      <c r="D17" s="13"/>
      <c r="E17" s="13">
        <v>20858537.399999999</v>
      </c>
    </row>
    <row r="18" spans="1:5" s="4" customFormat="1" ht="23.35" customHeight="1" x14ac:dyDescent="0.45">
      <c r="A18" s="11" t="s">
        <v>855</v>
      </c>
      <c r="B18" s="13">
        <v>369263373.07848477</v>
      </c>
      <c r="C18" s="13">
        <v>163259765.05151516</v>
      </c>
      <c r="D18" s="13">
        <v>359191030</v>
      </c>
      <c r="E18" s="13">
        <v>891714168.13</v>
      </c>
    </row>
  </sheetData>
  <mergeCells count="1">
    <mergeCell ref="A2:E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E8901-F45B-47C7-9CAB-2AA5D3C77812}">
  <sheetPr>
    <pageSetUpPr fitToPage="1"/>
  </sheetPr>
  <dimension ref="A2:E18"/>
  <sheetViews>
    <sheetView view="pageBreakPreview" zoomScaleNormal="90" zoomScaleSheetLayoutView="100" workbookViewId="0">
      <selection activeCell="A2" sqref="A2:E2"/>
    </sheetView>
  </sheetViews>
  <sheetFormatPr defaultColWidth="8.86328125" defaultRowHeight="14.25" x14ac:dyDescent="0.45"/>
  <cols>
    <col min="1" max="1" width="36.86328125" style="4" bestFit="1" customWidth="1"/>
    <col min="2" max="2" width="15.19921875" style="4" bestFit="1" customWidth="1"/>
    <col min="3" max="3" width="13.53125" style="4" bestFit="1" customWidth="1"/>
    <col min="4" max="4" width="16.1328125" style="4" bestFit="1" customWidth="1"/>
    <col min="5" max="5" width="23.19921875" style="4" bestFit="1" customWidth="1"/>
    <col min="6" max="6" width="12" style="4" bestFit="1" customWidth="1"/>
    <col min="7" max="7" width="9.1328125" style="4" bestFit="1" customWidth="1"/>
    <col min="8" max="8" width="8.796875" style="4" bestFit="1" customWidth="1"/>
    <col min="9" max="9" width="16.46484375" style="4" bestFit="1" customWidth="1"/>
    <col min="10" max="10" width="14" style="4" bestFit="1" customWidth="1"/>
    <col min="11" max="16384" width="8.86328125" style="4"/>
  </cols>
  <sheetData>
    <row r="2" spans="1:5" x14ac:dyDescent="0.45">
      <c r="A2" s="38" t="s">
        <v>887</v>
      </c>
      <c r="B2" s="39"/>
      <c r="C2" s="39"/>
      <c r="D2" s="39"/>
      <c r="E2" s="40"/>
    </row>
    <row r="3" spans="1:5" x14ac:dyDescent="0.45">
      <c r="A3" s="9" t="s">
        <v>858</v>
      </c>
      <c r="B3" s="9" t="s">
        <v>856</v>
      </c>
      <c r="C3" s="10"/>
      <c r="D3" s="10"/>
      <c r="E3" s="10"/>
    </row>
    <row r="4" spans="1:5" s="3" customFormat="1" x14ac:dyDescent="0.45">
      <c r="A4" s="7" t="s">
        <v>854</v>
      </c>
      <c r="B4" s="8" t="s">
        <v>22</v>
      </c>
      <c r="C4" s="8" t="s">
        <v>102</v>
      </c>
      <c r="D4" s="8" t="s">
        <v>769</v>
      </c>
      <c r="E4" s="8" t="s">
        <v>855</v>
      </c>
    </row>
    <row r="5" spans="1:5" ht="25.25" customHeight="1" x14ac:dyDescent="0.45">
      <c r="A5" s="11" t="s">
        <v>200</v>
      </c>
      <c r="B5" s="12">
        <v>-193358.91999999993</v>
      </c>
      <c r="C5" s="12"/>
      <c r="D5" s="12"/>
      <c r="E5" s="12">
        <v>-193358.91999999993</v>
      </c>
    </row>
    <row r="6" spans="1:5" ht="25.25" customHeight="1" x14ac:dyDescent="0.45">
      <c r="A6" s="11" t="s">
        <v>81</v>
      </c>
      <c r="B6" s="12">
        <v>-755806.29545454553</v>
      </c>
      <c r="C6" s="12">
        <v>-602291.68454545469</v>
      </c>
      <c r="D6" s="12"/>
      <c r="E6" s="12">
        <v>-1358097.9800000002</v>
      </c>
    </row>
    <row r="7" spans="1:5" ht="25.25" customHeight="1" x14ac:dyDescent="0.45">
      <c r="A7" s="11" t="s">
        <v>172</v>
      </c>
      <c r="B7" s="12">
        <v>-37215.170000000013</v>
      </c>
      <c r="C7" s="12">
        <v>-41426.760000000009</v>
      </c>
      <c r="D7" s="12"/>
      <c r="E7" s="12">
        <v>-78641.930000000022</v>
      </c>
    </row>
    <row r="8" spans="1:5" ht="25.25" customHeight="1" x14ac:dyDescent="0.45">
      <c r="A8" s="11" t="s">
        <v>426</v>
      </c>
      <c r="B8" s="12">
        <v>-1293409.0900000001</v>
      </c>
      <c r="C8" s="12">
        <v>-3012.54</v>
      </c>
      <c r="D8" s="12"/>
      <c r="E8" s="12">
        <v>-1296421.6300000001</v>
      </c>
    </row>
    <row r="9" spans="1:5" ht="25.25" customHeight="1" x14ac:dyDescent="0.45">
      <c r="A9" s="11" t="s">
        <v>163</v>
      </c>
      <c r="B9" s="12">
        <v>-1537612.36</v>
      </c>
      <c r="C9" s="12"/>
      <c r="D9" s="12"/>
      <c r="E9" s="12">
        <v>-1537612.36</v>
      </c>
    </row>
    <row r="10" spans="1:5" ht="25.25" customHeight="1" x14ac:dyDescent="0.45">
      <c r="A10" s="11" t="s">
        <v>73</v>
      </c>
      <c r="B10" s="12">
        <v>-174874.13</v>
      </c>
      <c r="C10" s="12"/>
      <c r="D10" s="12"/>
      <c r="E10" s="12">
        <v>-174874.13</v>
      </c>
    </row>
    <row r="11" spans="1:5" ht="25.25" customHeight="1" x14ac:dyDescent="0.45">
      <c r="A11" s="11" t="s">
        <v>644</v>
      </c>
      <c r="B11" s="12">
        <v>-31145.699999999997</v>
      </c>
      <c r="C11" s="12"/>
      <c r="D11" s="12"/>
      <c r="E11" s="12">
        <v>-31145.699999999997</v>
      </c>
    </row>
    <row r="12" spans="1:5" ht="25.25" customHeight="1" x14ac:dyDescent="0.45">
      <c r="A12" s="11" t="s">
        <v>67</v>
      </c>
      <c r="B12" s="12">
        <v>-148406.17999999996</v>
      </c>
      <c r="C12" s="12">
        <v>-167142.30000000002</v>
      </c>
      <c r="D12" s="12"/>
      <c r="E12" s="12">
        <v>-315548.48</v>
      </c>
    </row>
    <row r="13" spans="1:5" ht="25.25" customHeight="1" x14ac:dyDescent="0.45">
      <c r="A13" s="11" t="s">
        <v>99</v>
      </c>
      <c r="B13" s="12">
        <v>-146118.16183333335</v>
      </c>
      <c r="C13" s="12">
        <v>-16090.738166666666</v>
      </c>
      <c r="D13" s="12"/>
      <c r="E13" s="12">
        <v>-162208.90000000002</v>
      </c>
    </row>
    <row r="14" spans="1:5" ht="25.25" customHeight="1" x14ac:dyDescent="0.45">
      <c r="A14" s="11" t="s">
        <v>767</v>
      </c>
      <c r="B14" s="12">
        <v>-810937.29</v>
      </c>
      <c r="C14" s="12"/>
      <c r="D14" s="12">
        <v>-16928466.59</v>
      </c>
      <c r="E14" s="12">
        <v>-17739403.879999999</v>
      </c>
    </row>
    <row r="15" spans="1:5" ht="25.25" customHeight="1" x14ac:dyDescent="0.45">
      <c r="A15" s="11" t="s">
        <v>397</v>
      </c>
      <c r="B15" s="12">
        <v>-4264579.7870692611</v>
      </c>
      <c r="C15" s="12">
        <v>-2911413.6520216442</v>
      </c>
      <c r="D15" s="12"/>
      <c r="E15" s="12">
        <v>-7175993.4390909057</v>
      </c>
    </row>
    <row r="16" spans="1:5" ht="25.25" customHeight="1" x14ac:dyDescent="0.45">
      <c r="A16" s="11" t="s">
        <v>60</v>
      </c>
      <c r="B16" s="12">
        <v>-6215247.0329545457</v>
      </c>
      <c r="C16" s="12">
        <v>-3386831.8770454563</v>
      </c>
      <c r="D16" s="12"/>
      <c r="E16" s="12">
        <v>-9602078.910000002</v>
      </c>
    </row>
    <row r="17" spans="1:5" ht="25.25" customHeight="1" x14ac:dyDescent="0.45">
      <c r="A17" s="11" t="s">
        <v>19</v>
      </c>
      <c r="B17" s="12">
        <v>-710073.52999999991</v>
      </c>
      <c r="C17" s="12">
        <v>-331977.44000000006</v>
      </c>
      <c r="D17" s="12"/>
      <c r="E17" s="12">
        <v>-1042050.97</v>
      </c>
    </row>
    <row r="18" spans="1:5" ht="25.25" customHeight="1" x14ac:dyDescent="0.45">
      <c r="A18" s="11" t="s">
        <v>855</v>
      </c>
      <c r="B18" s="12">
        <v>-16318783.647311686</v>
      </c>
      <c r="C18" s="12">
        <v>-7460186.9917792222</v>
      </c>
      <c r="D18" s="12">
        <v>-16928466.59</v>
      </c>
      <c r="E18" s="12">
        <v>-40707437.229090907</v>
      </c>
    </row>
  </sheetData>
  <mergeCells count="1">
    <mergeCell ref="A2:E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14C96-0177-44E4-9566-EAE7F034E9BB}">
  <sheetPr>
    <tabColor theme="6" tint="0.59999389629810485"/>
  </sheetPr>
  <dimension ref="A1:O541"/>
  <sheetViews>
    <sheetView tabSelected="1" view="pageBreakPreview" zoomScale="60" zoomScaleNormal="93" workbookViewId="0">
      <pane ySplit="4" topLeftCell="A5" activePane="bottomLeft" state="frozen"/>
      <selection pane="bottomLeft" sqref="A1:O1"/>
    </sheetView>
  </sheetViews>
  <sheetFormatPr defaultRowHeight="14.25" x14ac:dyDescent="0.45"/>
  <cols>
    <col min="1" max="1" width="8" bestFit="1" customWidth="1"/>
    <col min="2" max="2" width="9" customWidth="1"/>
    <col min="3" max="3" width="34.19921875" bestFit="1" customWidth="1"/>
    <col min="4" max="4" width="12.53125" customWidth="1"/>
    <col min="5" max="5" width="36.86328125" bestFit="1" customWidth="1"/>
    <col min="6" max="6" width="44.19921875" style="15" customWidth="1"/>
    <col min="7" max="9" width="10.86328125" bestFit="1" customWidth="1"/>
    <col min="10" max="10" width="10.796875" bestFit="1" customWidth="1"/>
    <col min="11" max="11" width="6.796875" bestFit="1" customWidth="1"/>
    <col min="12" max="12" width="17.6640625" style="1" bestFit="1" customWidth="1"/>
    <col min="13" max="13" width="17.46484375" bestFit="1" customWidth="1"/>
    <col min="14" max="14" width="18" bestFit="1" customWidth="1"/>
    <col min="15" max="15" width="15.59765625" style="2" bestFit="1" customWidth="1"/>
  </cols>
  <sheetData>
    <row r="1" spans="1:15" ht="15.75" x14ac:dyDescent="0.45">
      <c r="A1" s="41" t="s">
        <v>891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x14ac:dyDescent="0.45">
      <c r="A2" s="6"/>
      <c r="B2" s="6"/>
      <c r="C2" s="6"/>
      <c r="D2" s="6"/>
      <c r="E2" s="6"/>
      <c r="F2" s="16"/>
      <c r="G2" s="6"/>
      <c r="H2" s="6"/>
      <c r="I2" s="6"/>
      <c r="J2" s="6"/>
      <c r="K2" s="6"/>
      <c r="L2" s="14"/>
      <c r="M2" s="6"/>
      <c r="N2" s="34">
        <f>L3+M3</f>
        <v>851006730.90090907</v>
      </c>
      <c r="O2" s="35">
        <f>N3-N2</f>
        <v>59494.819090723991</v>
      </c>
    </row>
    <row r="3" spans="1:15" ht="15.75" x14ac:dyDescent="0.5">
      <c r="A3" s="6"/>
      <c r="B3" s="6"/>
      <c r="C3" s="6"/>
      <c r="D3" s="6"/>
      <c r="E3" s="14">
        <f>SUBTOTAL(9,L5:L540)</f>
        <v>891714168.13</v>
      </c>
      <c r="F3" s="16"/>
      <c r="G3" s="6"/>
      <c r="H3" s="6"/>
      <c r="I3" s="6"/>
      <c r="J3" s="6"/>
      <c r="K3" s="6"/>
      <c r="L3" s="36">
        <f>SUBTOTAL(9,L5:L540)</f>
        <v>891714168.13</v>
      </c>
      <c r="M3" s="36">
        <f>SUBTOTAL(9,M5:M540)</f>
        <v>-40707437.229090892</v>
      </c>
      <c r="N3" s="36">
        <f>SUBTOTAL(9,N5:N540)</f>
        <v>851066225.71999979</v>
      </c>
      <c r="O3" s="37"/>
    </row>
    <row r="4" spans="1:15" s="4" customFormat="1" ht="19.25" customHeight="1" x14ac:dyDescent="0.45">
      <c r="A4" s="29" t="s">
        <v>0</v>
      </c>
      <c r="B4" s="29" t="s">
        <v>1</v>
      </c>
      <c r="C4" s="29" t="s">
        <v>2</v>
      </c>
      <c r="D4" s="29" t="s">
        <v>3</v>
      </c>
      <c r="E4" s="29" t="s">
        <v>4</v>
      </c>
      <c r="F4" s="30" t="s">
        <v>5</v>
      </c>
      <c r="G4" s="31" t="s">
        <v>6</v>
      </c>
      <c r="H4" s="31" t="s">
        <v>7</v>
      </c>
      <c r="I4" s="31" t="s">
        <v>8</v>
      </c>
      <c r="J4" s="31" t="s">
        <v>9</v>
      </c>
      <c r="K4" s="31" t="s">
        <v>10</v>
      </c>
      <c r="L4" s="32" t="s">
        <v>11</v>
      </c>
      <c r="M4" s="31" t="s">
        <v>12</v>
      </c>
      <c r="N4" s="31" t="s">
        <v>13</v>
      </c>
      <c r="O4" s="33" t="s">
        <v>14</v>
      </c>
    </row>
    <row r="5" spans="1:15" s="4" customFormat="1" ht="19.25" customHeight="1" x14ac:dyDescent="0.45">
      <c r="A5" s="18" t="s">
        <v>15</v>
      </c>
      <c r="B5" s="18" t="s">
        <v>16</v>
      </c>
      <c r="C5" s="18" t="s">
        <v>17</v>
      </c>
      <c r="D5" s="18" t="s">
        <v>18</v>
      </c>
      <c r="E5" s="18" t="s">
        <v>19</v>
      </c>
      <c r="F5" s="19" t="s">
        <v>20</v>
      </c>
      <c r="G5" s="20">
        <v>45386</v>
      </c>
      <c r="H5" s="20">
        <v>45386</v>
      </c>
      <c r="I5" s="20">
        <v>45386</v>
      </c>
      <c r="J5" s="21">
        <v>1</v>
      </c>
      <c r="K5" s="18" t="s">
        <v>21</v>
      </c>
      <c r="L5" s="22">
        <v>376419.66</v>
      </c>
      <c r="M5" s="23">
        <v>-17740.439999999999</v>
      </c>
      <c r="N5" s="23">
        <v>358679.22</v>
      </c>
      <c r="O5" s="18" t="s">
        <v>22</v>
      </c>
    </row>
    <row r="6" spans="1:15" s="4" customFormat="1" ht="19.25" customHeight="1" x14ac:dyDescent="0.45">
      <c r="A6" s="18" t="s">
        <v>23</v>
      </c>
      <c r="B6" s="18" t="s">
        <v>16</v>
      </c>
      <c r="C6" s="18" t="s">
        <v>17</v>
      </c>
      <c r="D6" s="18" t="s">
        <v>18</v>
      </c>
      <c r="E6" s="18" t="s">
        <v>19</v>
      </c>
      <c r="F6" s="19" t="s">
        <v>20</v>
      </c>
      <c r="G6" s="20">
        <v>45386</v>
      </c>
      <c r="H6" s="20">
        <v>45386</v>
      </c>
      <c r="I6" s="20">
        <v>45386</v>
      </c>
      <c r="J6" s="21">
        <v>1</v>
      </c>
      <c r="K6" s="18" t="s">
        <v>21</v>
      </c>
      <c r="L6" s="22">
        <v>376420</v>
      </c>
      <c r="M6" s="23">
        <v>-17740.46</v>
      </c>
      <c r="N6" s="23">
        <v>358679.54</v>
      </c>
      <c r="O6" s="18" t="s">
        <v>22</v>
      </c>
    </row>
    <row r="7" spans="1:15" s="4" customFormat="1" ht="19.25" customHeight="1" x14ac:dyDescent="0.45">
      <c r="A7" s="18" t="s">
        <v>24</v>
      </c>
      <c r="B7" s="18" t="s">
        <v>16</v>
      </c>
      <c r="C7" s="18" t="s">
        <v>17</v>
      </c>
      <c r="D7" s="18" t="s">
        <v>18</v>
      </c>
      <c r="E7" s="18" t="s">
        <v>19</v>
      </c>
      <c r="F7" s="19" t="s">
        <v>20</v>
      </c>
      <c r="G7" s="20">
        <v>45386</v>
      </c>
      <c r="H7" s="20">
        <v>45386</v>
      </c>
      <c r="I7" s="20">
        <v>45386</v>
      </c>
      <c r="J7" s="21">
        <v>1</v>
      </c>
      <c r="K7" s="18" t="s">
        <v>21</v>
      </c>
      <c r="L7" s="22">
        <v>376420</v>
      </c>
      <c r="M7" s="23">
        <v>-17740.46</v>
      </c>
      <c r="N7" s="23">
        <v>358679.54</v>
      </c>
      <c r="O7" s="18" t="s">
        <v>22</v>
      </c>
    </row>
    <row r="8" spans="1:15" s="4" customFormat="1" ht="19.25" customHeight="1" x14ac:dyDescent="0.45">
      <c r="A8" s="18" t="s">
        <v>25</v>
      </c>
      <c r="B8" s="18" t="s">
        <v>16</v>
      </c>
      <c r="C8" s="18" t="s">
        <v>17</v>
      </c>
      <c r="D8" s="18" t="s">
        <v>18</v>
      </c>
      <c r="E8" s="18" t="s">
        <v>19</v>
      </c>
      <c r="F8" s="19" t="s">
        <v>20</v>
      </c>
      <c r="G8" s="20">
        <v>45386</v>
      </c>
      <c r="H8" s="20">
        <v>45386</v>
      </c>
      <c r="I8" s="20">
        <v>45386</v>
      </c>
      <c r="J8" s="21">
        <v>1</v>
      </c>
      <c r="K8" s="18" t="s">
        <v>21</v>
      </c>
      <c r="L8" s="22">
        <v>376420</v>
      </c>
      <c r="M8" s="23">
        <v>-17740.46</v>
      </c>
      <c r="N8" s="23">
        <v>358679.54</v>
      </c>
      <c r="O8" s="18" t="s">
        <v>22</v>
      </c>
    </row>
    <row r="9" spans="1:15" s="4" customFormat="1" ht="19.25" customHeight="1" x14ac:dyDescent="0.45">
      <c r="A9" s="18" t="s">
        <v>26</v>
      </c>
      <c r="B9" s="18" t="s">
        <v>16</v>
      </c>
      <c r="C9" s="18" t="s">
        <v>17</v>
      </c>
      <c r="D9" s="18" t="s">
        <v>18</v>
      </c>
      <c r="E9" s="18" t="s">
        <v>19</v>
      </c>
      <c r="F9" s="19" t="s">
        <v>20</v>
      </c>
      <c r="G9" s="20">
        <v>45386</v>
      </c>
      <c r="H9" s="20">
        <v>45386</v>
      </c>
      <c r="I9" s="20">
        <v>45386</v>
      </c>
      <c r="J9" s="21">
        <v>1</v>
      </c>
      <c r="K9" s="18" t="s">
        <v>21</v>
      </c>
      <c r="L9" s="22">
        <v>376420</v>
      </c>
      <c r="M9" s="23">
        <v>-17740.46</v>
      </c>
      <c r="N9" s="23">
        <v>358679.54</v>
      </c>
      <c r="O9" s="18" t="s">
        <v>22</v>
      </c>
    </row>
    <row r="10" spans="1:15" s="4" customFormat="1" ht="19.25" customHeight="1" x14ac:dyDescent="0.45">
      <c r="A10" s="18" t="s">
        <v>27</v>
      </c>
      <c r="B10" s="18" t="s">
        <v>16</v>
      </c>
      <c r="C10" s="18" t="s">
        <v>17</v>
      </c>
      <c r="D10" s="18" t="s">
        <v>18</v>
      </c>
      <c r="E10" s="18" t="s">
        <v>19</v>
      </c>
      <c r="F10" s="19" t="s">
        <v>20</v>
      </c>
      <c r="G10" s="20">
        <v>45386</v>
      </c>
      <c r="H10" s="20">
        <v>45386</v>
      </c>
      <c r="I10" s="20">
        <v>45386</v>
      </c>
      <c r="J10" s="21">
        <v>1</v>
      </c>
      <c r="K10" s="18" t="s">
        <v>21</v>
      </c>
      <c r="L10" s="22">
        <v>376420</v>
      </c>
      <c r="M10" s="23">
        <v>-17740.46</v>
      </c>
      <c r="N10" s="23">
        <v>358679.54</v>
      </c>
      <c r="O10" s="18" t="s">
        <v>22</v>
      </c>
    </row>
    <row r="11" spans="1:15" s="4" customFormat="1" ht="19.25" customHeight="1" x14ac:dyDescent="0.45">
      <c r="A11" s="18" t="s">
        <v>28</v>
      </c>
      <c r="B11" s="18" t="s">
        <v>16</v>
      </c>
      <c r="C11" s="18" t="s">
        <v>17</v>
      </c>
      <c r="D11" s="18" t="s">
        <v>18</v>
      </c>
      <c r="E11" s="18" t="s">
        <v>19</v>
      </c>
      <c r="F11" s="19" t="s">
        <v>20</v>
      </c>
      <c r="G11" s="20">
        <v>45386</v>
      </c>
      <c r="H11" s="20">
        <v>45386</v>
      </c>
      <c r="I11" s="20">
        <v>45386</v>
      </c>
      <c r="J11" s="21">
        <v>1</v>
      </c>
      <c r="K11" s="18" t="s">
        <v>21</v>
      </c>
      <c r="L11" s="22">
        <v>376420</v>
      </c>
      <c r="M11" s="23">
        <v>-17740.46</v>
      </c>
      <c r="N11" s="23">
        <v>358679.54</v>
      </c>
      <c r="O11" s="18" t="s">
        <v>22</v>
      </c>
    </row>
    <row r="12" spans="1:15" s="4" customFormat="1" ht="19.25" customHeight="1" x14ac:dyDescent="0.45">
      <c r="A12" s="18" t="s">
        <v>29</v>
      </c>
      <c r="B12" s="18" t="s">
        <v>16</v>
      </c>
      <c r="C12" s="18" t="s">
        <v>17</v>
      </c>
      <c r="D12" s="18" t="s">
        <v>18</v>
      </c>
      <c r="E12" s="18" t="s">
        <v>19</v>
      </c>
      <c r="F12" s="19" t="s">
        <v>20</v>
      </c>
      <c r="G12" s="20">
        <v>45386</v>
      </c>
      <c r="H12" s="20">
        <v>45386</v>
      </c>
      <c r="I12" s="20">
        <v>45386</v>
      </c>
      <c r="J12" s="21">
        <v>1</v>
      </c>
      <c r="K12" s="18" t="s">
        <v>21</v>
      </c>
      <c r="L12" s="22">
        <v>376420</v>
      </c>
      <c r="M12" s="23">
        <v>-17740.46</v>
      </c>
      <c r="N12" s="23">
        <v>358679.54</v>
      </c>
      <c r="O12" s="18" t="s">
        <v>22</v>
      </c>
    </row>
    <row r="13" spans="1:15" s="4" customFormat="1" ht="19.25" customHeight="1" x14ac:dyDescent="0.45">
      <c r="A13" s="18" t="s">
        <v>30</v>
      </c>
      <c r="B13" s="18" t="s">
        <v>16</v>
      </c>
      <c r="C13" s="18" t="s">
        <v>17</v>
      </c>
      <c r="D13" s="18" t="s">
        <v>18</v>
      </c>
      <c r="E13" s="18" t="s">
        <v>19</v>
      </c>
      <c r="F13" s="19" t="s">
        <v>20</v>
      </c>
      <c r="G13" s="20">
        <v>45386</v>
      </c>
      <c r="H13" s="20">
        <v>45386</v>
      </c>
      <c r="I13" s="20">
        <v>45386</v>
      </c>
      <c r="J13" s="21">
        <v>1</v>
      </c>
      <c r="K13" s="18" t="s">
        <v>21</v>
      </c>
      <c r="L13" s="22">
        <v>376420</v>
      </c>
      <c r="M13" s="23">
        <v>-17740.46</v>
      </c>
      <c r="N13" s="23">
        <v>358679.54</v>
      </c>
      <c r="O13" s="18" t="s">
        <v>22</v>
      </c>
    </row>
    <row r="14" spans="1:15" s="4" customFormat="1" ht="19.25" customHeight="1" x14ac:dyDescent="0.45">
      <c r="A14" s="18" t="s">
        <v>31</v>
      </c>
      <c r="B14" s="18" t="s">
        <v>16</v>
      </c>
      <c r="C14" s="18" t="s">
        <v>17</v>
      </c>
      <c r="D14" s="18" t="s">
        <v>18</v>
      </c>
      <c r="E14" s="18" t="s">
        <v>19</v>
      </c>
      <c r="F14" s="19" t="s">
        <v>20</v>
      </c>
      <c r="G14" s="20">
        <v>45386</v>
      </c>
      <c r="H14" s="20">
        <v>45386</v>
      </c>
      <c r="I14" s="20">
        <v>45386</v>
      </c>
      <c r="J14" s="21">
        <v>1</v>
      </c>
      <c r="K14" s="18" t="s">
        <v>21</v>
      </c>
      <c r="L14" s="22">
        <v>376420</v>
      </c>
      <c r="M14" s="23">
        <v>-17740.46</v>
      </c>
      <c r="N14" s="23">
        <v>358679.54</v>
      </c>
      <c r="O14" s="18" t="s">
        <v>22</v>
      </c>
    </row>
    <row r="15" spans="1:15" s="4" customFormat="1" ht="19.25" customHeight="1" x14ac:dyDescent="0.45">
      <c r="A15" s="18" t="s">
        <v>32</v>
      </c>
      <c r="B15" s="18" t="s">
        <v>16</v>
      </c>
      <c r="C15" s="18" t="s">
        <v>17</v>
      </c>
      <c r="D15" s="18" t="s">
        <v>18</v>
      </c>
      <c r="E15" s="18" t="s">
        <v>19</v>
      </c>
      <c r="F15" s="19" t="s">
        <v>20</v>
      </c>
      <c r="G15" s="20">
        <v>45386</v>
      </c>
      <c r="H15" s="20">
        <v>45386</v>
      </c>
      <c r="I15" s="20">
        <v>45386</v>
      </c>
      <c r="J15" s="21">
        <v>1</v>
      </c>
      <c r="K15" s="18" t="s">
        <v>21</v>
      </c>
      <c r="L15" s="22">
        <v>376420</v>
      </c>
      <c r="M15" s="23">
        <v>-17740.46</v>
      </c>
      <c r="N15" s="23">
        <v>358679.54</v>
      </c>
      <c r="O15" s="18" t="s">
        <v>22</v>
      </c>
    </row>
    <row r="16" spans="1:15" s="4" customFormat="1" ht="19.25" customHeight="1" x14ac:dyDescent="0.45">
      <c r="A16" s="18" t="s">
        <v>33</v>
      </c>
      <c r="B16" s="18" t="s">
        <v>16</v>
      </c>
      <c r="C16" s="18" t="s">
        <v>17</v>
      </c>
      <c r="D16" s="18" t="s">
        <v>18</v>
      </c>
      <c r="E16" s="18" t="s">
        <v>19</v>
      </c>
      <c r="F16" s="19" t="s">
        <v>20</v>
      </c>
      <c r="G16" s="20">
        <v>45386</v>
      </c>
      <c r="H16" s="20">
        <v>45386</v>
      </c>
      <c r="I16" s="20">
        <v>45386</v>
      </c>
      <c r="J16" s="21">
        <v>1</v>
      </c>
      <c r="K16" s="18" t="s">
        <v>21</v>
      </c>
      <c r="L16" s="22">
        <v>376420</v>
      </c>
      <c r="M16" s="23">
        <v>-17740.46</v>
      </c>
      <c r="N16" s="23">
        <v>358679.54</v>
      </c>
      <c r="O16" s="18" t="s">
        <v>22</v>
      </c>
    </row>
    <row r="17" spans="1:15" s="4" customFormat="1" ht="19.25" customHeight="1" x14ac:dyDescent="0.45">
      <c r="A17" s="18" t="s">
        <v>34</v>
      </c>
      <c r="B17" s="18" t="s">
        <v>16</v>
      </c>
      <c r="C17" s="18" t="s">
        <v>17</v>
      </c>
      <c r="D17" s="18" t="s">
        <v>18</v>
      </c>
      <c r="E17" s="18" t="s">
        <v>19</v>
      </c>
      <c r="F17" s="19" t="s">
        <v>20</v>
      </c>
      <c r="G17" s="20">
        <v>45386</v>
      </c>
      <c r="H17" s="20">
        <v>45386</v>
      </c>
      <c r="I17" s="20">
        <v>45386</v>
      </c>
      <c r="J17" s="21">
        <v>1</v>
      </c>
      <c r="K17" s="18" t="s">
        <v>21</v>
      </c>
      <c r="L17" s="22">
        <v>376420</v>
      </c>
      <c r="M17" s="23">
        <v>-17740.46</v>
      </c>
      <c r="N17" s="23">
        <v>358679.54</v>
      </c>
      <c r="O17" s="18" t="s">
        <v>22</v>
      </c>
    </row>
    <row r="18" spans="1:15" s="4" customFormat="1" ht="19.25" customHeight="1" x14ac:dyDescent="0.45">
      <c r="A18" s="18" t="s">
        <v>35</v>
      </c>
      <c r="B18" s="18" t="s">
        <v>16</v>
      </c>
      <c r="C18" s="18" t="s">
        <v>17</v>
      </c>
      <c r="D18" s="18" t="s">
        <v>18</v>
      </c>
      <c r="E18" s="18" t="s">
        <v>19</v>
      </c>
      <c r="F18" s="19" t="s">
        <v>20</v>
      </c>
      <c r="G18" s="20">
        <v>45386</v>
      </c>
      <c r="H18" s="20">
        <v>45386</v>
      </c>
      <c r="I18" s="20">
        <v>45386</v>
      </c>
      <c r="J18" s="21">
        <v>1</v>
      </c>
      <c r="K18" s="18" t="s">
        <v>21</v>
      </c>
      <c r="L18" s="22">
        <v>376420</v>
      </c>
      <c r="M18" s="23">
        <v>-17740.46</v>
      </c>
      <c r="N18" s="23">
        <v>358679.54</v>
      </c>
      <c r="O18" s="18" t="s">
        <v>22</v>
      </c>
    </row>
    <row r="19" spans="1:15" s="4" customFormat="1" ht="19.25" customHeight="1" x14ac:dyDescent="0.45">
      <c r="A19" s="18" t="s">
        <v>36</v>
      </c>
      <c r="B19" s="18" t="s">
        <v>16</v>
      </c>
      <c r="C19" s="18" t="s">
        <v>17</v>
      </c>
      <c r="D19" s="18" t="s">
        <v>18</v>
      </c>
      <c r="E19" s="18" t="s">
        <v>19</v>
      </c>
      <c r="F19" s="19" t="s">
        <v>20</v>
      </c>
      <c r="G19" s="20">
        <v>45386</v>
      </c>
      <c r="H19" s="20">
        <v>45386</v>
      </c>
      <c r="I19" s="20">
        <v>45386</v>
      </c>
      <c r="J19" s="21">
        <v>1</v>
      </c>
      <c r="K19" s="18" t="s">
        <v>21</v>
      </c>
      <c r="L19" s="22">
        <v>376420</v>
      </c>
      <c r="M19" s="23">
        <v>-17740.46</v>
      </c>
      <c r="N19" s="23">
        <v>358679.54</v>
      </c>
      <c r="O19" s="18" t="s">
        <v>22</v>
      </c>
    </row>
    <row r="20" spans="1:15" s="4" customFormat="1" ht="19.25" customHeight="1" x14ac:dyDescent="0.45">
      <c r="A20" s="18" t="s">
        <v>37</v>
      </c>
      <c r="B20" s="18" t="s">
        <v>16</v>
      </c>
      <c r="C20" s="18" t="s">
        <v>17</v>
      </c>
      <c r="D20" s="18" t="s">
        <v>18</v>
      </c>
      <c r="E20" s="18" t="s">
        <v>19</v>
      </c>
      <c r="F20" s="19" t="s">
        <v>20</v>
      </c>
      <c r="G20" s="20">
        <v>45386</v>
      </c>
      <c r="H20" s="20">
        <v>45386</v>
      </c>
      <c r="I20" s="20">
        <v>45386</v>
      </c>
      <c r="J20" s="21">
        <v>1</v>
      </c>
      <c r="K20" s="18" t="s">
        <v>21</v>
      </c>
      <c r="L20" s="22">
        <v>376420</v>
      </c>
      <c r="M20" s="23">
        <v>-17740.46</v>
      </c>
      <c r="N20" s="23">
        <v>358679.54</v>
      </c>
      <c r="O20" s="18" t="s">
        <v>102</v>
      </c>
    </row>
    <row r="21" spans="1:15" s="4" customFormat="1" ht="19.25" customHeight="1" x14ac:dyDescent="0.45">
      <c r="A21" s="18" t="s">
        <v>38</v>
      </c>
      <c r="B21" s="18" t="s">
        <v>16</v>
      </c>
      <c r="C21" s="18" t="s">
        <v>17</v>
      </c>
      <c r="D21" s="18" t="s">
        <v>18</v>
      </c>
      <c r="E21" s="18" t="s">
        <v>19</v>
      </c>
      <c r="F21" s="19" t="s">
        <v>20</v>
      </c>
      <c r="G21" s="20">
        <v>45386</v>
      </c>
      <c r="H21" s="20">
        <v>45386</v>
      </c>
      <c r="I21" s="20">
        <v>45386</v>
      </c>
      <c r="J21" s="21">
        <v>1</v>
      </c>
      <c r="K21" s="18" t="s">
        <v>21</v>
      </c>
      <c r="L21" s="22">
        <v>376420</v>
      </c>
      <c r="M21" s="23">
        <v>-17740.46</v>
      </c>
      <c r="N21" s="23">
        <v>358679.54</v>
      </c>
      <c r="O21" s="18" t="s">
        <v>102</v>
      </c>
    </row>
    <row r="22" spans="1:15" s="4" customFormat="1" ht="19.25" customHeight="1" x14ac:dyDescent="0.45">
      <c r="A22" s="18" t="s">
        <v>39</v>
      </c>
      <c r="B22" s="18" t="s">
        <v>16</v>
      </c>
      <c r="C22" s="18" t="s">
        <v>17</v>
      </c>
      <c r="D22" s="18" t="s">
        <v>18</v>
      </c>
      <c r="E22" s="18" t="s">
        <v>19</v>
      </c>
      <c r="F22" s="19" t="s">
        <v>20</v>
      </c>
      <c r="G22" s="20">
        <v>45386</v>
      </c>
      <c r="H22" s="20">
        <v>45386</v>
      </c>
      <c r="I22" s="20">
        <v>45386</v>
      </c>
      <c r="J22" s="21">
        <v>1</v>
      </c>
      <c r="K22" s="18" t="s">
        <v>21</v>
      </c>
      <c r="L22" s="22">
        <v>376420</v>
      </c>
      <c r="M22" s="23">
        <v>-17740.46</v>
      </c>
      <c r="N22" s="23">
        <v>358679.54</v>
      </c>
      <c r="O22" s="18" t="s">
        <v>102</v>
      </c>
    </row>
    <row r="23" spans="1:15" s="4" customFormat="1" ht="19.25" customHeight="1" x14ac:dyDescent="0.45">
      <c r="A23" s="18" t="s">
        <v>40</v>
      </c>
      <c r="B23" s="18" t="s">
        <v>16</v>
      </c>
      <c r="C23" s="18" t="s">
        <v>17</v>
      </c>
      <c r="D23" s="18" t="s">
        <v>18</v>
      </c>
      <c r="E23" s="18" t="s">
        <v>19</v>
      </c>
      <c r="F23" s="19" t="s">
        <v>20</v>
      </c>
      <c r="G23" s="20">
        <v>45386</v>
      </c>
      <c r="H23" s="20">
        <v>45386</v>
      </c>
      <c r="I23" s="20">
        <v>45386</v>
      </c>
      <c r="J23" s="21">
        <v>1</v>
      </c>
      <c r="K23" s="18" t="s">
        <v>21</v>
      </c>
      <c r="L23" s="22">
        <v>376420</v>
      </c>
      <c r="M23" s="23">
        <v>-17740.46</v>
      </c>
      <c r="N23" s="23">
        <v>358679.54</v>
      </c>
      <c r="O23" s="18" t="s">
        <v>102</v>
      </c>
    </row>
    <row r="24" spans="1:15" s="4" customFormat="1" ht="19.25" customHeight="1" x14ac:dyDescent="0.45">
      <c r="A24" s="18" t="s">
        <v>41</v>
      </c>
      <c r="B24" s="18" t="s">
        <v>16</v>
      </c>
      <c r="C24" s="18" t="s">
        <v>17</v>
      </c>
      <c r="D24" s="18" t="s">
        <v>18</v>
      </c>
      <c r="E24" s="18" t="s">
        <v>19</v>
      </c>
      <c r="F24" s="19" t="s">
        <v>20</v>
      </c>
      <c r="G24" s="20">
        <v>45386</v>
      </c>
      <c r="H24" s="20">
        <v>45386</v>
      </c>
      <c r="I24" s="20">
        <v>45386</v>
      </c>
      <c r="J24" s="21">
        <v>1</v>
      </c>
      <c r="K24" s="18" t="s">
        <v>21</v>
      </c>
      <c r="L24" s="22">
        <v>376420</v>
      </c>
      <c r="M24" s="23">
        <v>-17740.46</v>
      </c>
      <c r="N24" s="23">
        <v>358679.54</v>
      </c>
      <c r="O24" s="18" t="s">
        <v>102</v>
      </c>
    </row>
    <row r="25" spans="1:15" s="4" customFormat="1" ht="19.25" customHeight="1" x14ac:dyDescent="0.45">
      <c r="A25" s="18" t="s">
        <v>42</v>
      </c>
      <c r="B25" s="18" t="s">
        <v>16</v>
      </c>
      <c r="C25" s="18" t="s">
        <v>17</v>
      </c>
      <c r="D25" s="18" t="s">
        <v>18</v>
      </c>
      <c r="E25" s="18" t="s">
        <v>19</v>
      </c>
      <c r="F25" s="19" t="s">
        <v>20</v>
      </c>
      <c r="G25" s="20">
        <v>45386</v>
      </c>
      <c r="H25" s="20">
        <v>45386</v>
      </c>
      <c r="I25" s="20">
        <v>45386</v>
      </c>
      <c r="J25" s="21">
        <v>1</v>
      </c>
      <c r="K25" s="18" t="s">
        <v>21</v>
      </c>
      <c r="L25" s="22">
        <v>376420</v>
      </c>
      <c r="M25" s="23">
        <v>-17740.46</v>
      </c>
      <c r="N25" s="23">
        <v>358679.54</v>
      </c>
      <c r="O25" s="18" t="s">
        <v>102</v>
      </c>
    </row>
    <row r="26" spans="1:15" s="4" customFormat="1" ht="19.25" customHeight="1" x14ac:dyDescent="0.45">
      <c r="A26" s="18" t="s">
        <v>43</v>
      </c>
      <c r="B26" s="18" t="s">
        <v>16</v>
      </c>
      <c r="C26" s="18" t="s">
        <v>17</v>
      </c>
      <c r="D26" s="18" t="s">
        <v>18</v>
      </c>
      <c r="E26" s="18" t="s">
        <v>19</v>
      </c>
      <c r="F26" s="19" t="s">
        <v>20</v>
      </c>
      <c r="G26" s="20">
        <v>45386</v>
      </c>
      <c r="H26" s="20">
        <v>45386</v>
      </c>
      <c r="I26" s="20">
        <v>45386</v>
      </c>
      <c r="J26" s="21">
        <v>1</v>
      </c>
      <c r="K26" s="18" t="s">
        <v>21</v>
      </c>
      <c r="L26" s="22">
        <v>376420</v>
      </c>
      <c r="M26" s="23">
        <v>-17740.46</v>
      </c>
      <c r="N26" s="23">
        <v>358679.54</v>
      </c>
      <c r="O26" s="18" t="s">
        <v>102</v>
      </c>
    </row>
    <row r="27" spans="1:15" s="4" customFormat="1" ht="19.25" customHeight="1" x14ac:dyDescent="0.45">
      <c r="A27" s="18" t="s">
        <v>44</v>
      </c>
      <c r="B27" s="18" t="s">
        <v>16</v>
      </c>
      <c r="C27" s="18" t="s">
        <v>17</v>
      </c>
      <c r="D27" s="18" t="s">
        <v>18</v>
      </c>
      <c r="E27" s="18" t="s">
        <v>19</v>
      </c>
      <c r="F27" s="19" t="s">
        <v>20</v>
      </c>
      <c r="G27" s="20">
        <v>45386</v>
      </c>
      <c r="H27" s="20">
        <v>45386</v>
      </c>
      <c r="I27" s="20">
        <v>45386</v>
      </c>
      <c r="J27" s="21">
        <v>1</v>
      </c>
      <c r="K27" s="18" t="s">
        <v>21</v>
      </c>
      <c r="L27" s="22">
        <v>376420</v>
      </c>
      <c r="M27" s="23">
        <v>-17740.46</v>
      </c>
      <c r="N27" s="23">
        <v>358679.54</v>
      </c>
      <c r="O27" s="18" t="s">
        <v>102</v>
      </c>
    </row>
    <row r="28" spans="1:15" s="4" customFormat="1" ht="19.25" customHeight="1" x14ac:dyDescent="0.45">
      <c r="A28" s="18" t="s">
        <v>45</v>
      </c>
      <c r="B28" s="18" t="s">
        <v>16</v>
      </c>
      <c r="C28" s="18" t="s">
        <v>17</v>
      </c>
      <c r="D28" s="18" t="s">
        <v>18</v>
      </c>
      <c r="E28" s="18" t="s">
        <v>19</v>
      </c>
      <c r="F28" s="19" t="s">
        <v>20</v>
      </c>
      <c r="G28" s="20">
        <v>45386</v>
      </c>
      <c r="H28" s="20">
        <v>45386</v>
      </c>
      <c r="I28" s="20">
        <v>45386</v>
      </c>
      <c r="J28" s="21">
        <v>1</v>
      </c>
      <c r="K28" s="18" t="s">
        <v>21</v>
      </c>
      <c r="L28" s="22">
        <v>376420</v>
      </c>
      <c r="M28" s="23">
        <v>-17740.46</v>
      </c>
      <c r="N28" s="23">
        <v>358679.54</v>
      </c>
      <c r="O28" s="18" t="s">
        <v>102</v>
      </c>
    </row>
    <row r="29" spans="1:15" s="4" customFormat="1" ht="19.25" customHeight="1" x14ac:dyDescent="0.45">
      <c r="A29" s="18" t="s">
        <v>46</v>
      </c>
      <c r="B29" s="18" t="s">
        <v>16</v>
      </c>
      <c r="C29" s="18" t="s">
        <v>17</v>
      </c>
      <c r="D29" s="18" t="s">
        <v>18</v>
      </c>
      <c r="E29" s="18" t="s">
        <v>19</v>
      </c>
      <c r="F29" s="19" t="s">
        <v>47</v>
      </c>
      <c r="G29" s="20">
        <v>45386</v>
      </c>
      <c r="H29" s="20">
        <v>45386</v>
      </c>
      <c r="I29" s="20">
        <v>45386</v>
      </c>
      <c r="J29" s="21">
        <v>1</v>
      </c>
      <c r="K29" s="18" t="s">
        <v>21</v>
      </c>
      <c r="L29" s="22">
        <v>389400</v>
      </c>
      <c r="M29" s="23">
        <v>-18352.2</v>
      </c>
      <c r="N29" s="23">
        <v>371047.8</v>
      </c>
      <c r="O29" s="18" t="s">
        <v>102</v>
      </c>
    </row>
    <row r="30" spans="1:15" s="4" customFormat="1" ht="19.25" customHeight="1" x14ac:dyDescent="0.45">
      <c r="A30" s="18" t="s">
        <v>48</v>
      </c>
      <c r="B30" s="18" t="s">
        <v>16</v>
      </c>
      <c r="C30" s="18" t="s">
        <v>17</v>
      </c>
      <c r="D30" s="18" t="s">
        <v>18</v>
      </c>
      <c r="E30" s="18" t="s">
        <v>19</v>
      </c>
      <c r="F30" s="19" t="s">
        <v>47</v>
      </c>
      <c r="G30" s="20">
        <v>45386</v>
      </c>
      <c r="H30" s="20">
        <v>45386</v>
      </c>
      <c r="I30" s="20">
        <v>45386</v>
      </c>
      <c r="J30" s="21">
        <v>1</v>
      </c>
      <c r="K30" s="18" t="s">
        <v>21</v>
      </c>
      <c r="L30" s="22">
        <v>389400</v>
      </c>
      <c r="M30" s="23">
        <v>-18352.2</v>
      </c>
      <c r="N30" s="23">
        <v>371047.8</v>
      </c>
      <c r="O30" s="18" t="s">
        <v>102</v>
      </c>
    </row>
    <row r="31" spans="1:15" s="4" customFormat="1" ht="19.25" customHeight="1" x14ac:dyDescent="0.45">
      <c r="A31" s="18" t="s">
        <v>49</v>
      </c>
      <c r="B31" s="18" t="s">
        <v>16</v>
      </c>
      <c r="C31" s="18" t="s">
        <v>17</v>
      </c>
      <c r="D31" s="18" t="s">
        <v>18</v>
      </c>
      <c r="E31" s="18" t="s">
        <v>19</v>
      </c>
      <c r="F31" s="19" t="s">
        <v>47</v>
      </c>
      <c r="G31" s="20">
        <v>45386</v>
      </c>
      <c r="H31" s="20">
        <v>45386</v>
      </c>
      <c r="I31" s="20">
        <v>45386</v>
      </c>
      <c r="J31" s="21">
        <v>1</v>
      </c>
      <c r="K31" s="18" t="s">
        <v>21</v>
      </c>
      <c r="L31" s="22">
        <v>389400</v>
      </c>
      <c r="M31" s="23">
        <v>-18352.2</v>
      </c>
      <c r="N31" s="23">
        <v>371047.8</v>
      </c>
      <c r="O31" s="18" t="s">
        <v>102</v>
      </c>
    </row>
    <row r="32" spans="1:15" s="4" customFormat="1" ht="19.25" customHeight="1" x14ac:dyDescent="0.45">
      <c r="A32" s="18" t="s">
        <v>50</v>
      </c>
      <c r="B32" s="18" t="s">
        <v>16</v>
      </c>
      <c r="C32" s="18" t="s">
        <v>17</v>
      </c>
      <c r="D32" s="18" t="s">
        <v>18</v>
      </c>
      <c r="E32" s="18" t="s">
        <v>19</v>
      </c>
      <c r="F32" s="19" t="s">
        <v>47</v>
      </c>
      <c r="G32" s="20">
        <v>45386</v>
      </c>
      <c r="H32" s="20">
        <v>45386</v>
      </c>
      <c r="I32" s="20">
        <v>45386</v>
      </c>
      <c r="J32" s="21">
        <v>1</v>
      </c>
      <c r="K32" s="18" t="s">
        <v>21</v>
      </c>
      <c r="L32" s="22">
        <v>389400</v>
      </c>
      <c r="M32" s="23">
        <v>-18352.2</v>
      </c>
      <c r="N32" s="23">
        <v>371047.8</v>
      </c>
      <c r="O32" s="18" t="s">
        <v>102</v>
      </c>
    </row>
    <row r="33" spans="1:15" s="4" customFormat="1" ht="19.25" customHeight="1" x14ac:dyDescent="0.45">
      <c r="A33" s="18" t="s">
        <v>51</v>
      </c>
      <c r="B33" s="18" t="s">
        <v>16</v>
      </c>
      <c r="C33" s="18" t="s">
        <v>17</v>
      </c>
      <c r="D33" s="18" t="s">
        <v>18</v>
      </c>
      <c r="E33" s="18" t="s">
        <v>19</v>
      </c>
      <c r="F33" s="19" t="s">
        <v>47</v>
      </c>
      <c r="G33" s="20">
        <v>45386</v>
      </c>
      <c r="H33" s="20">
        <v>45386</v>
      </c>
      <c r="I33" s="20">
        <v>45386</v>
      </c>
      <c r="J33" s="21">
        <v>1</v>
      </c>
      <c r="K33" s="18" t="s">
        <v>21</v>
      </c>
      <c r="L33" s="22">
        <v>389400</v>
      </c>
      <c r="M33" s="23">
        <v>-18352.2</v>
      </c>
      <c r="N33" s="23">
        <v>371047.8</v>
      </c>
      <c r="O33" s="18" t="s">
        <v>102</v>
      </c>
    </row>
    <row r="34" spans="1:15" s="4" customFormat="1" ht="19.25" customHeight="1" x14ac:dyDescent="0.45">
      <c r="A34" s="18" t="s">
        <v>52</v>
      </c>
      <c r="B34" s="18" t="s">
        <v>16</v>
      </c>
      <c r="C34" s="18" t="s">
        <v>17</v>
      </c>
      <c r="D34" s="18" t="s">
        <v>18</v>
      </c>
      <c r="E34" s="18" t="s">
        <v>19</v>
      </c>
      <c r="F34" s="19" t="s">
        <v>47</v>
      </c>
      <c r="G34" s="20">
        <v>45386</v>
      </c>
      <c r="H34" s="20">
        <v>45386</v>
      </c>
      <c r="I34" s="20">
        <v>45386</v>
      </c>
      <c r="J34" s="21">
        <v>1</v>
      </c>
      <c r="K34" s="18" t="s">
        <v>21</v>
      </c>
      <c r="L34" s="22">
        <v>389400</v>
      </c>
      <c r="M34" s="23">
        <v>-18352.2</v>
      </c>
      <c r="N34" s="23">
        <v>371047.8</v>
      </c>
      <c r="O34" s="18" t="s">
        <v>102</v>
      </c>
    </row>
    <row r="35" spans="1:15" s="4" customFormat="1" ht="19.25" customHeight="1" x14ac:dyDescent="0.45">
      <c r="A35" s="18" t="s">
        <v>53</v>
      </c>
      <c r="B35" s="18" t="s">
        <v>16</v>
      </c>
      <c r="C35" s="18" t="s">
        <v>17</v>
      </c>
      <c r="D35" s="18" t="s">
        <v>18</v>
      </c>
      <c r="E35" s="18" t="s">
        <v>19</v>
      </c>
      <c r="F35" s="19" t="s">
        <v>47</v>
      </c>
      <c r="G35" s="20">
        <v>45386</v>
      </c>
      <c r="H35" s="20">
        <v>45386</v>
      </c>
      <c r="I35" s="20">
        <v>45386</v>
      </c>
      <c r="J35" s="21">
        <v>1</v>
      </c>
      <c r="K35" s="18" t="s">
        <v>21</v>
      </c>
      <c r="L35" s="22">
        <v>389400</v>
      </c>
      <c r="M35" s="23">
        <v>-18352.2</v>
      </c>
      <c r="N35" s="23">
        <v>371047.8</v>
      </c>
      <c r="O35" s="18" t="s">
        <v>102</v>
      </c>
    </row>
    <row r="36" spans="1:15" s="4" customFormat="1" ht="19.25" customHeight="1" x14ac:dyDescent="0.45">
      <c r="A36" s="18" t="s">
        <v>54</v>
      </c>
      <c r="B36" s="18" t="s">
        <v>16</v>
      </c>
      <c r="C36" s="18" t="s">
        <v>17</v>
      </c>
      <c r="D36" s="18" t="s">
        <v>18</v>
      </c>
      <c r="E36" s="18" t="s">
        <v>19</v>
      </c>
      <c r="F36" s="19" t="s">
        <v>47</v>
      </c>
      <c r="G36" s="20">
        <v>45386</v>
      </c>
      <c r="H36" s="20">
        <v>45386</v>
      </c>
      <c r="I36" s="20">
        <v>45386</v>
      </c>
      <c r="J36" s="21">
        <v>1</v>
      </c>
      <c r="K36" s="18" t="s">
        <v>21</v>
      </c>
      <c r="L36" s="22">
        <v>389400</v>
      </c>
      <c r="M36" s="23">
        <v>-18352.2</v>
      </c>
      <c r="N36" s="23">
        <v>371047.8</v>
      </c>
      <c r="O36" s="18" t="s">
        <v>102</v>
      </c>
    </row>
    <row r="37" spans="1:15" s="4" customFormat="1" ht="19.25" customHeight="1" x14ac:dyDescent="0.45">
      <c r="A37" s="18" t="s">
        <v>55</v>
      </c>
      <c r="B37" s="18" t="s">
        <v>16</v>
      </c>
      <c r="C37" s="18" t="s">
        <v>17</v>
      </c>
      <c r="D37" s="18" t="s">
        <v>18</v>
      </c>
      <c r="E37" s="18" t="s">
        <v>19</v>
      </c>
      <c r="F37" s="19" t="s">
        <v>47</v>
      </c>
      <c r="G37" s="20">
        <v>45386</v>
      </c>
      <c r="H37" s="20">
        <v>45386</v>
      </c>
      <c r="I37" s="20">
        <v>45386</v>
      </c>
      <c r="J37" s="21">
        <v>1</v>
      </c>
      <c r="K37" s="18" t="s">
        <v>21</v>
      </c>
      <c r="L37" s="22">
        <v>389400</v>
      </c>
      <c r="M37" s="23">
        <v>-18352.2</v>
      </c>
      <c r="N37" s="23">
        <v>371047.8</v>
      </c>
      <c r="O37" s="18" t="s">
        <v>102</v>
      </c>
    </row>
    <row r="38" spans="1:15" s="4" customFormat="1" ht="19.25" customHeight="1" x14ac:dyDescent="0.45">
      <c r="A38" s="18" t="s">
        <v>56</v>
      </c>
      <c r="B38" s="18" t="s">
        <v>57</v>
      </c>
      <c r="C38" s="18" t="s">
        <v>58</v>
      </c>
      <c r="D38" s="18" t="s">
        <v>59</v>
      </c>
      <c r="E38" s="18" t="s">
        <v>60</v>
      </c>
      <c r="F38" s="19" t="s">
        <v>61</v>
      </c>
      <c r="G38" s="20">
        <v>45386</v>
      </c>
      <c r="H38" s="20">
        <v>45386</v>
      </c>
      <c r="I38" s="20">
        <v>45386</v>
      </c>
      <c r="J38" s="21">
        <v>2</v>
      </c>
      <c r="K38" s="18" t="s">
        <v>21</v>
      </c>
      <c r="L38" s="22">
        <f>3878480.5*2/3</f>
        <v>2585653.6666666665</v>
      </c>
      <c r="M38" s="23">
        <f>-182790.55*2/3</f>
        <v>-121860.36666666665</v>
      </c>
      <c r="N38" s="23">
        <f>3695689.95*2/3</f>
        <v>2463793.3000000003</v>
      </c>
      <c r="O38" s="18" t="s">
        <v>22</v>
      </c>
    </row>
    <row r="39" spans="1:15" s="4" customFormat="1" ht="19.25" customHeight="1" x14ac:dyDescent="0.45">
      <c r="A39" s="18" t="s">
        <v>62</v>
      </c>
      <c r="B39" s="18"/>
      <c r="C39" s="18"/>
      <c r="D39" s="18"/>
      <c r="E39" s="18" t="s">
        <v>60</v>
      </c>
      <c r="F39" s="19" t="s">
        <v>61</v>
      </c>
      <c r="G39" s="20">
        <v>45386</v>
      </c>
      <c r="H39" s="20"/>
      <c r="I39" s="20"/>
      <c r="J39" s="21">
        <v>1</v>
      </c>
      <c r="K39" s="18" t="s">
        <v>21</v>
      </c>
      <c r="L39" s="22">
        <f>3878480.5*1/3</f>
        <v>1292826.8333333333</v>
      </c>
      <c r="M39" s="23">
        <f>-182790.55*1/3</f>
        <v>-60930.183333333327</v>
      </c>
      <c r="N39" s="23">
        <f>3695689.95*1/3</f>
        <v>1231896.6500000001</v>
      </c>
      <c r="O39" s="18" t="s">
        <v>102</v>
      </c>
    </row>
    <row r="40" spans="1:15" s="4" customFormat="1" ht="19.25" customHeight="1" x14ac:dyDescent="0.45">
      <c r="A40" s="18" t="s">
        <v>63</v>
      </c>
      <c r="B40" s="18" t="s">
        <v>64</v>
      </c>
      <c r="C40" s="18" t="s">
        <v>65</v>
      </c>
      <c r="D40" s="18" t="s">
        <v>66</v>
      </c>
      <c r="E40" s="18" t="s">
        <v>67</v>
      </c>
      <c r="F40" s="19" t="s">
        <v>68</v>
      </c>
      <c r="G40" s="20">
        <v>45386</v>
      </c>
      <c r="H40" s="20">
        <v>45386</v>
      </c>
      <c r="I40" s="20">
        <v>45386</v>
      </c>
      <c r="J40" s="21">
        <v>1</v>
      </c>
      <c r="K40" s="18" t="s">
        <v>21</v>
      </c>
      <c r="L40" s="22">
        <v>224700</v>
      </c>
      <c r="M40" s="23">
        <v>-10589.98</v>
      </c>
      <c r="N40" s="23">
        <v>214110.02</v>
      </c>
      <c r="O40" s="24" t="s">
        <v>102</v>
      </c>
    </row>
    <row r="41" spans="1:15" s="4" customFormat="1" ht="19.25" customHeight="1" x14ac:dyDescent="0.45">
      <c r="A41" s="18" t="s">
        <v>69</v>
      </c>
      <c r="B41" s="18" t="s">
        <v>70</v>
      </c>
      <c r="C41" s="18" t="s">
        <v>71</v>
      </c>
      <c r="D41" s="18" t="s">
        <v>72</v>
      </c>
      <c r="E41" s="18" t="s">
        <v>73</v>
      </c>
      <c r="F41" s="19" t="s">
        <v>74</v>
      </c>
      <c r="G41" s="20">
        <v>45386</v>
      </c>
      <c r="H41" s="20">
        <v>45386</v>
      </c>
      <c r="I41" s="20">
        <v>45386</v>
      </c>
      <c r="J41" s="21">
        <v>1</v>
      </c>
      <c r="K41" s="18" t="s">
        <v>21</v>
      </c>
      <c r="L41" s="22">
        <v>489459.32</v>
      </c>
      <c r="M41" s="23">
        <v>-27655.31</v>
      </c>
      <c r="N41" s="23">
        <v>461804.01</v>
      </c>
      <c r="O41" s="18" t="s">
        <v>22</v>
      </c>
    </row>
    <row r="42" spans="1:15" s="4" customFormat="1" ht="19.25" customHeight="1" x14ac:dyDescent="0.45">
      <c r="A42" s="18" t="s">
        <v>75</v>
      </c>
      <c r="B42" s="18" t="s">
        <v>70</v>
      </c>
      <c r="C42" s="18" t="s">
        <v>71</v>
      </c>
      <c r="D42" s="18" t="s">
        <v>72</v>
      </c>
      <c r="E42" s="18" t="s">
        <v>73</v>
      </c>
      <c r="F42" s="19" t="s">
        <v>76</v>
      </c>
      <c r="G42" s="20">
        <v>45386</v>
      </c>
      <c r="H42" s="20">
        <v>45386</v>
      </c>
      <c r="I42" s="20">
        <v>45386</v>
      </c>
      <c r="J42" s="21">
        <v>1</v>
      </c>
      <c r="K42" s="18" t="s">
        <v>21</v>
      </c>
      <c r="L42" s="22">
        <v>551900</v>
      </c>
      <c r="M42" s="23">
        <v>-31183.32</v>
      </c>
      <c r="N42" s="23">
        <v>520716.68</v>
      </c>
      <c r="O42" s="18" t="s">
        <v>22</v>
      </c>
    </row>
    <row r="43" spans="1:15" s="4" customFormat="1" ht="19.25" customHeight="1" x14ac:dyDescent="0.45">
      <c r="A43" s="18" t="s">
        <v>77</v>
      </c>
      <c r="B43" s="18" t="s">
        <v>78</v>
      </c>
      <c r="C43" s="18" t="s">
        <v>79</v>
      </c>
      <c r="D43" s="18" t="s">
        <v>80</v>
      </c>
      <c r="E43" s="18" t="s">
        <v>81</v>
      </c>
      <c r="F43" s="19" t="s">
        <v>82</v>
      </c>
      <c r="G43" s="20">
        <v>45386</v>
      </c>
      <c r="H43" s="20">
        <v>45386</v>
      </c>
      <c r="I43" s="20">
        <v>45386</v>
      </c>
      <c r="J43" s="21">
        <f>5/11</f>
        <v>0.45454545454545453</v>
      </c>
      <c r="K43" s="18" t="s">
        <v>83</v>
      </c>
      <c r="L43" s="22">
        <f>174400*5/11</f>
        <v>79272.727272727279</v>
      </c>
      <c r="M43" s="23">
        <f>-8219.37*5/11</f>
        <v>-3736.0772727272733</v>
      </c>
      <c r="N43" s="23">
        <f>166180.63*5/11</f>
        <v>75536.650000000009</v>
      </c>
      <c r="O43" s="18" t="s">
        <v>22</v>
      </c>
    </row>
    <row r="44" spans="1:15" s="4" customFormat="1" ht="19.25" customHeight="1" x14ac:dyDescent="0.45">
      <c r="A44" s="18" t="s">
        <v>84</v>
      </c>
      <c r="B44" s="18"/>
      <c r="C44" s="18"/>
      <c r="D44" s="18"/>
      <c r="E44" s="18" t="s">
        <v>81</v>
      </c>
      <c r="F44" s="19" t="s">
        <v>82</v>
      </c>
      <c r="G44" s="20">
        <v>45386</v>
      </c>
      <c r="H44" s="20"/>
      <c r="I44" s="20"/>
      <c r="J44" s="21">
        <f>1/11</f>
        <v>9.0909090909090912E-2</v>
      </c>
      <c r="K44" s="18" t="s">
        <v>83</v>
      </c>
      <c r="L44" s="22">
        <f>174400*1/11</f>
        <v>15854.545454545454</v>
      </c>
      <c r="M44" s="23">
        <f>-8219.37*1/11</f>
        <v>-747.21545454545458</v>
      </c>
      <c r="N44" s="23">
        <f>166180.63*1/11</f>
        <v>15107.33</v>
      </c>
      <c r="O44" s="18" t="s">
        <v>102</v>
      </c>
    </row>
    <row r="45" spans="1:15" s="4" customFormat="1" ht="19.25" customHeight="1" x14ac:dyDescent="0.45">
      <c r="A45" s="18" t="s">
        <v>85</v>
      </c>
      <c r="B45" s="18"/>
      <c r="C45" s="18"/>
      <c r="D45" s="18"/>
      <c r="E45" s="18" t="s">
        <v>81</v>
      </c>
      <c r="F45" s="19" t="s">
        <v>82</v>
      </c>
      <c r="G45" s="20">
        <v>45386</v>
      </c>
      <c r="H45" s="20"/>
      <c r="I45" s="20"/>
      <c r="J45" s="21">
        <f>5/11</f>
        <v>0.45454545454545453</v>
      </c>
      <c r="K45" s="18" t="s">
        <v>83</v>
      </c>
      <c r="L45" s="22">
        <f>174400*5/11</f>
        <v>79272.727272727279</v>
      </c>
      <c r="M45" s="23">
        <f>-8219.37*5/11</f>
        <v>-3736.0772727272733</v>
      </c>
      <c r="N45" s="23">
        <f>166180.63*5/11</f>
        <v>75536.650000000009</v>
      </c>
      <c r="O45" s="18" t="s">
        <v>102</v>
      </c>
    </row>
    <row r="46" spans="1:15" s="4" customFormat="1" ht="19.25" customHeight="1" x14ac:dyDescent="0.45">
      <c r="A46" s="18" t="s">
        <v>86</v>
      </c>
      <c r="B46" s="18" t="s">
        <v>78</v>
      </c>
      <c r="C46" s="18" t="s">
        <v>79</v>
      </c>
      <c r="D46" s="18" t="s">
        <v>80</v>
      </c>
      <c r="E46" s="18" t="s">
        <v>81</v>
      </c>
      <c r="F46" s="19" t="s">
        <v>87</v>
      </c>
      <c r="G46" s="20">
        <v>45386</v>
      </c>
      <c r="H46" s="20">
        <v>45386</v>
      </c>
      <c r="I46" s="20">
        <v>45386</v>
      </c>
      <c r="J46" s="21">
        <v>1</v>
      </c>
      <c r="K46" s="18" t="s">
        <v>21</v>
      </c>
      <c r="L46" s="22">
        <v>844300</v>
      </c>
      <c r="M46" s="23">
        <v>-39791.370000000003</v>
      </c>
      <c r="N46" s="23">
        <v>804508.63</v>
      </c>
      <c r="O46" s="18" t="s">
        <v>22</v>
      </c>
    </row>
    <row r="47" spans="1:15" s="4" customFormat="1" ht="19.25" customHeight="1" x14ac:dyDescent="0.45">
      <c r="A47" s="18" t="s">
        <v>88</v>
      </c>
      <c r="B47" s="18" t="s">
        <v>57</v>
      </c>
      <c r="C47" s="18" t="s">
        <v>58</v>
      </c>
      <c r="D47" s="18" t="s">
        <v>59</v>
      </c>
      <c r="E47" s="18" t="s">
        <v>60</v>
      </c>
      <c r="F47" s="19" t="s">
        <v>89</v>
      </c>
      <c r="G47" s="20">
        <v>45386</v>
      </c>
      <c r="H47" s="20">
        <v>45386</v>
      </c>
      <c r="I47" s="20">
        <v>45386</v>
      </c>
      <c r="J47" s="21">
        <v>1</v>
      </c>
      <c r="K47" s="18" t="s">
        <v>90</v>
      </c>
      <c r="L47" s="22">
        <v>47800000</v>
      </c>
      <c r="M47" s="23">
        <v>-2252786.5</v>
      </c>
      <c r="N47" s="23">
        <v>45547213.5</v>
      </c>
      <c r="O47" s="19" t="s">
        <v>22</v>
      </c>
    </row>
    <row r="48" spans="1:15" s="4" customFormat="1" ht="19.25" customHeight="1" x14ac:dyDescent="0.45">
      <c r="A48" s="18" t="s">
        <v>91</v>
      </c>
      <c r="B48" s="18" t="s">
        <v>57</v>
      </c>
      <c r="C48" s="18" t="s">
        <v>58</v>
      </c>
      <c r="D48" s="18" t="s">
        <v>59</v>
      </c>
      <c r="E48" s="18" t="s">
        <v>60</v>
      </c>
      <c r="F48" s="19" t="s">
        <v>89</v>
      </c>
      <c r="G48" s="20">
        <v>45386</v>
      </c>
      <c r="H48" s="20">
        <v>45386</v>
      </c>
      <c r="I48" s="20">
        <v>45386</v>
      </c>
      <c r="J48" s="21">
        <v>1</v>
      </c>
      <c r="K48" s="18" t="s">
        <v>90</v>
      </c>
      <c r="L48" s="22">
        <v>47800000</v>
      </c>
      <c r="M48" s="23">
        <v>-2252786.5</v>
      </c>
      <c r="N48" s="23">
        <v>45547213.5</v>
      </c>
      <c r="O48" s="19" t="s">
        <v>22</v>
      </c>
    </row>
    <row r="49" spans="1:15" s="4" customFormat="1" ht="19.25" customHeight="1" x14ac:dyDescent="0.45">
      <c r="A49" s="18" t="s">
        <v>92</v>
      </c>
      <c r="B49" s="18" t="s">
        <v>57</v>
      </c>
      <c r="C49" s="18" t="s">
        <v>58</v>
      </c>
      <c r="D49" s="18" t="s">
        <v>59</v>
      </c>
      <c r="E49" s="18" t="s">
        <v>60</v>
      </c>
      <c r="F49" s="19" t="s">
        <v>89</v>
      </c>
      <c r="G49" s="20">
        <v>45386</v>
      </c>
      <c r="H49" s="20">
        <v>45386</v>
      </c>
      <c r="I49" s="20">
        <v>45386</v>
      </c>
      <c r="J49" s="21">
        <v>1</v>
      </c>
      <c r="K49" s="18" t="s">
        <v>90</v>
      </c>
      <c r="L49" s="22">
        <v>47800000</v>
      </c>
      <c r="M49" s="23">
        <v>-2252786.5</v>
      </c>
      <c r="N49" s="23">
        <v>45547213.5</v>
      </c>
      <c r="O49" s="19" t="s">
        <v>102</v>
      </c>
    </row>
    <row r="50" spans="1:15" s="4" customFormat="1" ht="19.25" customHeight="1" x14ac:dyDescent="0.45">
      <c r="A50" s="18" t="s">
        <v>93</v>
      </c>
      <c r="B50" s="18" t="s">
        <v>78</v>
      </c>
      <c r="C50" s="18" t="s">
        <v>79</v>
      </c>
      <c r="D50" s="18" t="s">
        <v>80</v>
      </c>
      <c r="E50" s="18" t="s">
        <v>81</v>
      </c>
      <c r="F50" s="19" t="s">
        <v>94</v>
      </c>
      <c r="G50" s="20">
        <v>45386</v>
      </c>
      <c r="H50" s="20">
        <v>45386</v>
      </c>
      <c r="I50" s="20">
        <v>45386</v>
      </c>
      <c r="J50" s="21">
        <v>1</v>
      </c>
      <c r="K50" s="18" t="s">
        <v>90</v>
      </c>
      <c r="L50" s="22">
        <v>600000</v>
      </c>
      <c r="M50" s="23">
        <v>-28277.65</v>
      </c>
      <c r="N50" s="23">
        <v>571722.35</v>
      </c>
      <c r="O50" s="18" t="s">
        <v>22</v>
      </c>
    </row>
    <row r="51" spans="1:15" s="4" customFormat="1" ht="30.4" customHeight="1" x14ac:dyDescent="0.45">
      <c r="A51" s="18" t="s">
        <v>95</v>
      </c>
      <c r="B51" s="18" t="s">
        <v>96</v>
      </c>
      <c r="C51" s="18" t="s">
        <v>97</v>
      </c>
      <c r="D51" s="18" t="s">
        <v>98</v>
      </c>
      <c r="E51" s="18" t="s">
        <v>99</v>
      </c>
      <c r="F51" s="19" t="s">
        <v>100</v>
      </c>
      <c r="G51" s="20">
        <v>45386</v>
      </c>
      <c r="H51" s="20">
        <v>45386</v>
      </c>
      <c r="I51" s="20">
        <v>45386</v>
      </c>
      <c r="J51" s="21">
        <v>6</v>
      </c>
      <c r="K51" s="18" t="s">
        <v>90</v>
      </c>
      <c r="L51" s="22">
        <f>222200*6/10</f>
        <v>133320</v>
      </c>
      <c r="M51" s="23">
        <f>-10472.16*6/10</f>
        <v>-6283.2960000000003</v>
      </c>
      <c r="N51" s="23">
        <f>211727.84*6/10</f>
        <v>127036.704</v>
      </c>
      <c r="O51" s="19" t="s">
        <v>22</v>
      </c>
    </row>
    <row r="52" spans="1:15" s="4" customFormat="1" ht="30.4" customHeight="1" x14ac:dyDescent="0.45">
      <c r="A52" s="18" t="s">
        <v>101</v>
      </c>
      <c r="B52" s="18"/>
      <c r="C52" s="18"/>
      <c r="D52" s="18"/>
      <c r="E52" s="18" t="s">
        <v>99</v>
      </c>
      <c r="F52" s="19" t="s">
        <v>100</v>
      </c>
      <c r="G52" s="20">
        <v>45386</v>
      </c>
      <c r="H52" s="20"/>
      <c r="I52" s="20"/>
      <c r="J52" s="21">
        <v>4</v>
      </c>
      <c r="K52" s="18" t="s">
        <v>90</v>
      </c>
      <c r="L52" s="22">
        <f>222200*4/10</f>
        <v>88880</v>
      </c>
      <c r="M52" s="23">
        <f>-10472.16*4/10</f>
        <v>-4188.8639999999996</v>
      </c>
      <c r="N52" s="23">
        <f>211727.84*4/10</f>
        <v>84691.135999999999</v>
      </c>
      <c r="O52" s="19" t="s">
        <v>102</v>
      </c>
    </row>
    <row r="53" spans="1:15" s="4" customFormat="1" ht="19.25" customHeight="1" x14ac:dyDescent="0.45">
      <c r="A53" s="18" t="s">
        <v>103</v>
      </c>
      <c r="B53" s="18" t="s">
        <v>96</v>
      </c>
      <c r="C53" s="18" t="s">
        <v>97</v>
      </c>
      <c r="D53" s="18" t="s">
        <v>98</v>
      </c>
      <c r="E53" s="18" t="s">
        <v>99</v>
      </c>
      <c r="F53" s="19" t="s">
        <v>104</v>
      </c>
      <c r="G53" s="20">
        <v>45386</v>
      </c>
      <c r="H53" s="20">
        <v>45386</v>
      </c>
      <c r="I53" s="20">
        <v>45386</v>
      </c>
      <c r="J53" s="21">
        <v>2</v>
      </c>
      <c r="K53" s="18" t="s">
        <v>90</v>
      </c>
      <c r="L53" s="22">
        <f>530250*2/3</f>
        <v>353500</v>
      </c>
      <c r="M53" s="23">
        <f>-24990.38*2/3</f>
        <v>-16660.253333333334</v>
      </c>
      <c r="N53" s="23">
        <f>505259.62*2/3</f>
        <v>336839.74666666664</v>
      </c>
      <c r="O53" s="19" t="s">
        <v>22</v>
      </c>
    </row>
    <row r="54" spans="1:15" s="4" customFormat="1" ht="19.25" customHeight="1" x14ac:dyDescent="0.45">
      <c r="A54" s="18" t="s">
        <v>105</v>
      </c>
      <c r="B54" s="18"/>
      <c r="C54" s="18"/>
      <c r="D54" s="18"/>
      <c r="E54" s="18" t="s">
        <v>99</v>
      </c>
      <c r="F54" s="19" t="s">
        <v>104</v>
      </c>
      <c r="G54" s="20">
        <v>45386</v>
      </c>
      <c r="H54" s="20"/>
      <c r="I54" s="20"/>
      <c r="J54" s="21">
        <v>1</v>
      </c>
      <c r="K54" s="18" t="s">
        <v>90</v>
      </c>
      <c r="L54" s="22">
        <f>530250*1/3</f>
        <v>176750</v>
      </c>
      <c r="M54" s="23">
        <f>-24990.38*1/3</f>
        <v>-8330.126666666667</v>
      </c>
      <c r="N54" s="23">
        <f>505259.62*1/3</f>
        <v>168419.87333333332</v>
      </c>
      <c r="O54" s="19" t="s">
        <v>102</v>
      </c>
    </row>
    <row r="55" spans="1:15" s="4" customFormat="1" ht="19.25" customHeight="1" x14ac:dyDescent="0.45">
      <c r="A55" s="18" t="s">
        <v>106</v>
      </c>
      <c r="B55" s="18" t="s">
        <v>64</v>
      </c>
      <c r="C55" s="18" t="s">
        <v>65</v>
      </c>
      <c r="D55" s="18" t="s">
        <v>66</v>
      </c>
      <c r="E55" s="18" t="s">
        <v>67</v>
      </c>
      <c r="F55" s="19" t="s">
        <v>107</v>
      </c>
      <c r="G55" s="20">
        <v>45386</v>
      </c>
      <c r="H55" s="20">
        <v>45386</v>
      </c>
      <c r="I55" s="20">
        <v>45386</v>
      </c>
      <c r="J55" s="21">
        <v>6</v>
      </c>
      <c r="K55" s="18" t="s">
        <v>90</v>
      </c>
      <c r="L55" s="22">
        <v>50526</v>
      </c>
      <c r="M55" s="23">
        <v>-2381.2600000000002</v>
      </c>
      <c r="N55" s="23">
        <v>48144.74</v>
      </c>
      <c r="O55" s="19" t="s">
        <v>22</v>
      </c>
    </row>
    <row r="56" spans="1:15" s="4" customFormat="1" ht="19.25" customHeight="1" x14ac:dyDescent="0.45">
      <c r="A56" s="18" t="s">
        <v>108</v>
      </c>
      <c r="B56" s="18" t="s">
        <v>16</v>
      </c>
      <c r="C56" s="18" t="s">
        <v>17</v>
      </c>
      <c r="D56" s="18" t="s">
        <v>18</v>
      </c>
      <c r="E56" s="18" t="s">
        <v>19</v>
      </c>
      <c r="F56" s="19" t="s">
        <v>109</v>
      </c>
      <c r="G56" s="20">
        <v>45386</v>
      </c>
      <c r="H56" s="20">
        <v>45386</v>
      </c>
      <c r="I56" s="20">
        <v>45386</v>
      </c>
      <c r="J56" s="21">
        <v>2</v>
      </c>
      <c r="K56" s="18" t="s">
        <v>90</v>
      </c>
      <c r="L56" s="22">
        <v>250000</v>
      </c>
      <c r="M56" s="23">
        <v>-11782.36</v>
      </c>
      <c r="N56" s="23">
        <v>238217.64</v>
      </c>
      <c r="O56" s="19" t="s">
        <v>22</v>
      </c>
    </row>
    <row r="57" spans="1:15" s="4" customFormat="1" ht="28.5" customHeight="1" x14ac:dyDescent="0.45">
      <c r="A57" s="18" t="s">
        <v>110</v>
      </c>
      <c r="B57" s="18" t="s">
        <v>16</v>
      </c>
      <c r="C57" s="18" t="s">
        <v>17</v>
      </c>
      <c r="D57" s="18" t="s">
        <v>18</v>
      </c>
      <c r="E57" s="18" t="s">
        <v>19</v>
      </c>
      <c r="F57" s="19" t="s">
        <v>111</v>
      </c>
      <c r="G57" s="20">
        <v>45386</v>
      </c>
      <c r="H57" s="20">
        <v>45386</v>
      </c>
      <c r="I57" s="20">
        <v>45386</v>
      </c>
      <c r="J57" s="21">
        <v>2</v>
      </c>
      <c r="K57" s="18" t="s">
        <v>90</v>
      </c>
      <c r="L57" s="22">
        <v>250000</v>
      </c>
      <c r="M57" s="23">
        <v>-11782.36</v>
      </c>
      <c r="N57" s="23">
        <v>238217.64</v>
      </c>
      <c r="O57" s="19" t="s">
        <v>22</v>
      </c>
    </row>
    <row r="58" spans="1:15" s="4" customFormat="1" ht="19.25" customHeight="1" x14ac:dyDescent="0.45">
      <c r="A58" s="18" t="s">
        <v>112</v>
      </c>
      <c r="B58" s="18" t="s">
        <v>16</v>
      </c>
      <c r="C58" s="18" t="s">
        <v>17</v>
      </c>
      <c r="D58" s="18" t="s">
        <v>18</v>
      </c>
      <c r="E58" s="18" t="s">
        <v>19</v>
      </c>
      <c r="F58" s="19" t="s">
        <v>113</v>
      </c>
      <c r="G58" s="20">
        <v>45386</v>
      </c>
      <c r="H58" s="20">
        <v>45386</v>
      </c>
      <c r="I58" s="20">
        <v>45386</v>
      </c>
      <c r="J58" s="21">
        <v>3</v>
      </c>
      <c r="K58" s="18" t="s">
        <v>90</v>
      </c>
      <c r="L58" s="22">
        <v>294000</v>
      </c>
      <c r="M58" s="23">
        <v>-13856.05</v>
      </c>
      <c r="N58" s="23">
        <v>280143.95</v>
      </c>
      <c r="O58" s="19" t="s">
        <v>22</v>
      </c>
    </row>
    <row r="59" spans="1:15" s="4" customFormat="1" ht="19.25" customHeight="1" x14ac:dyDescent="0.45">
      <c r="A59" s="18" t="s">
        <v>114</v>
      </c>
      <c r="B59" s="18" t="s">
        <v>57</v>
      </c>
      <c r="C59" s="18" t="s">
        <v>58</v>
      </c>
      <c r="D59" s="18" t="s">
        <v>59</v>
      </c>
      <c r="E59" s="18" t="s">
        <v>60</v>
      </c>
      <c r="F59" s="19" t="s">
        <v>115</v>
      </c>
      <c r="G59" s="20">
        <v>45386</v>
      </c>
      <c r="H59" s="20">
        <v>45386</v>
      </c>
      <c r="I59" s="20">
        <v>45386</v>
      </c>
      <c r="J59" s="21">
        <v>6</v>
      </c>
      <c r="K59" s="18" t="s">
        <v>90</v>
      </c>
      <c r="L59" s="22">
        <v>588000</v>
      </c>
      <c r="M59" s="23">
        <v>-27712.1</v>
      </c>
      <c r="N59" s="23">
        <v>560287.9</v>
      </c>
      <c r="O59" s="19" t="s">
        <v>22</v>
      </c>
    </row>
    <row r="60" spans="1:15" s="4" customFormat="1" ht="19.25" customHeight="1" x14ac:dyDescent="0.45">
      <c r="A60" s="18" t="s">
        <v>116</v>
      </c>
      <c r="B60" s="18" t="s">
        <v>57</v>
      </c>
      <c r="C60" s="18" t="s">
        <v>58</v>
      </c>
      <c r="D60" s="18" t="s">
        <v>59</v>
      </c>
      <c r="E60" s="18" t="s">
        <v>60</v>
      </c>
      <c r="F60" s="19" t="s">
        <v>117</v>
      </c>
      <c r="G60" s="20">
        <v>45386</v>
      </c>
      <c r="H60" s="20">
        <v>45386</v>
      </c>
      <c r="I60" s="20">
        <v>45386</v>
      </c>
      <c r="J60" s="21">
        <v>1</v>
      </c>
      <c r="K60" s="18" t="s">
        <v>90</v>
      </c>
      <c r="L60" s="22">
        <v>1450000</v>
      </c>
      <c r="M60" s="23">
        <v>-68337.67</v>
      </c>
      <c r="N60" s="23">
        <v>1381662.33</v>
      </c>
      <c r="O60" s="19" t="s">
        <v>22</v>
      </c>
    </row>
    <row r="61" spans="1:15" s="4" customFormat="1" ht="19.25" customHeight="1" x14ac:dyDescent="0.45">
      <c r="A61" s="18" t="s">
        <v>118</v>
      </c>
      <c r="B61" s="18" t="s">
        <v>64</v>
      </c>
      <c r="C61" s="18" t="s">
        <v>65</v>
      </c>
      <c r="D61" s="18" t="s">
        <v>66</v>
      </c>
      <c r="E61" s="18" t="s">
        <v>67</v>
      </c>
      <c r="F61" s="19" t="s">
        <v>119</v>
      </c>
      <c r="G61" s="20">
        <v>45386</v>
      </c>
      <c r="H61" s="20">
        <v>45386</v>
      </c>
      <c r="I61" s="20">
        <v>45386</v>
      </c>
      <c r="J61" s="21">
        <v>6</v>
      </c>
      <c r="K61" s="18" t="s">
        <v>21</v>
      </c>
      <c r="L61" s="22">
        <v>393000</v>
      </c>
      <c r="M61" s="23">
        <v>-18521.86</v>
      </c>
      <c r="N61" s="23">
        <v>374478.14</v>
      </c>
      <c r="O61" s="19" t="s">
        <v>22</v>
      </c>
    </row>
    <row r="62" spans="1:15" s="4" customFormat="1" ht="19.25" customHeight="1" x14ac:dyDescent="0.45">
      <c r="A62" s="18" t="s">
        <v>120</v>
      </c>
      <c r="B62" s="18" t="s">
        <v>64</v>
      </c>
      <c r="C62" s="18" t="s">
        <v>65</v>
      </c>
      <c r="D62" s="18" t="s">
        <v>66</v>
      </c>
      <c r="E62" s="18" t="s">
        <v>67</v>
      </c>
      <c r="F62" s="19" t="s">
        <v>121</v>
      </c>
      <c r="G62" s="20">
        <v>45386</v>
      </c>
      <c r="H62" s="20">
        <v>45386</v>
      </c>
      <c r="I62" s="20">
        <v>45386</v>
      </c>
      <c r="J62" s="21">
        <v>6</v>
      </c>
      <c r="K62" s="18" t="s">
        <v>21</v>
      </c>
      <c r="L62" s="22">
        <f>1572000*6/24</f>
        <v>393000</v>
      </c>
      <c r="M62" s="23">
        <f>-74087.46*6/24</f>
        <v>-18521.865000000002</v>
      </c>
      <c r="N62" s="23">
        <f>1497912.54*6/24</f>
        <v>374478.13500000001</v>
      </c>
      <c r="O62" s="19" t="s">
        <v>22</v>
      </c>
    </row>
    <row r="63" spans="1:15" s="4" customFormat="1" ht="19.25" customHeight="1" x14ac:dyDescent="0.45">
      <c r="A63" s="18" t="s">
        <v>122</v>
      </c>
      <c r="B63" s="18"/>
      <c r="C63" s="18"/>
      <c r="D63" s="18"/>
      <c r="E63" s="18" t="s">
        <v>67</v>
      </c>
      <c r="F63" s="19" t="s">
        <v>121</v>
      </c>
      <c r="G63" s="20">
        <v>45386</v>
      </c>
      <c r="H63" s="20"/>
      <c r="I63" s="20"/>
      <c r="J63" s="21">
        <v>3</v>
      </c>
      <c r="K63" s="18" t="s">
        <v>21</v>
      </c>
      <c r="L63" s="22">
        <f>1572000*3/24</f>
        <v>196500</v>
      </c>
      <c r="M63" s="23">
        <f>-74087.46*3/24</f>
        <v>-9260.9325000000008</v>
      </c>
      <c r="N63" s="23">
        <f>1497912.54*3/24</f>
        <v>187239.0675</v>
      </c>
      <c r="O63" s="19" t="s">
        <v>102</v>
      </c>
    </row>
    <row r="64" spans="1:15" s="4" customFormat="1" ht="19.25" customHeight="1" x14ac:dyDescent="0.45">
      <c r="A64" s="18" t="s">
        <v>123</v>
      </c>
      <c r="B64" s="18"/>
      <c r="C64" s="18"/>
      <c r="D64" s="18"/>
      <c r="E64" s="18" t="s">
        <v>67</v>
      </c>
      <c r="F64" s="19" t="s">
        <v>121</v>
      </c>
      <c r="G64" s="20">
        <v>45386</v>
      </c>
      <c r="H64" s="20"/>
      <c r="I64" s="20"/>
      <c r="J64" s="21">
        <v>15</v>
      </c>
      <c r="K64" s="18" t="s">
        <v>21</v>
      </c>
      <c r="L64" s="22">
        <f>1572000*15/24</f>
        <v>982500</v>
      </c>
      <c r="M64" s="23">
        <f>-74087.46*15/24</f>
        <v>-46304.662500000006</v>
      </c>
      <c r="N64" s="23">
        <f>1497912.54*15/24</f>
        <v>936195.33750000002</v>
      </c>
      <c r="O64" s="19" t="s">
        <v>102</v>
      </c>
    </row>
    <row r="65" spans="1:15" s="4" customFormat="1" ht="19.25" customHeight="1" x14ac:dyDescent="0.45">
      <c r="A65" s="18" t="s">
        <v>124</v>
      </c>
      <c r="B65" s="18" t="s">
        <v>16</v>
      </c>
      <c r="C65" s="18" t="s">
        <v>17</v>
      </c>
      <c r="D65" s="18" t="s">
        <v>18</v>
      </c>
      <c r="E65" s="18" t="s">
        <v>19</v>
      </c>
      <c r="F65" s="19" t="s">
        <v>125</v>
      </c>
      <c r="G65" s="20">
        <v>45386</v>
      </c>
      <c r="H65" s="20">
        <v>45386</v>
      </c>
      <c r="I65" s="20">
        <v>45386</v>
      </c>
      <c r="J65" s="21">
        <v>1</v>
      </c>
      <c r="K65" s="18" t="s">
        <v>21</v>
      </c>
      <c r="L65" s="22">
        <v>320129</v>
      </c>
      <c r="M65" s="23">
        <v>-74087.460000000006</v>
      </c>
      <c r="N65" s="23">
        <v>305041.5</v>
      </c>
      <c r="O65" s="19" t="s">
        <v>22</v>
      </c>
    </row>
    <row r="66" spans="1:15" s="4" customFormat="1" ht="19.25" customHeight="1" x14ac:dyDescent="0.45">
      <c r="A66" s="18" t="s">
        <v>126</v>
      </c>
      <c r="B66" s="18" t="s">
        <v>16</v>
      </c>
      <c r="C66" s="18" t="s">
        <v>17</v>
      </c>
      <c r="D66" s="18" t="s">
        <v>18</v>
      </c>
      <c r="E66" s="18" t="s">
        <v>19</v>
      </c>
      <c r="F66" s="19" t="s">
        <v>125</v>
      </c>
      <c r="G66" s="20">
        <v>45386</v>
      </c>
      <c r="H66" s="20">
        <v>45386</v>
      </c>
      <c r="I66" s="20">
        <v>45386</v>
      </c>
      <c r="J66" s="21">
        <v>1</v>
      </c>
      <c r="K66" s="18" t="s">
        <v>21</v>
      </c>
      <c r="L66" s="22">
        <v>320129</v>
      </c>
      <c r="M66" s="23">
        <v>-15087.5</v>
      </c>
      <c r="N66" s="23">
        <v>305041.5</v>
      </c>
      <c r="O66" s="19" t="s">
        <v>22</v>
      </c>
    </row>
    <row r="67" spans="1:15" s="4" customFormat="1" ht="19.25" customHeight="1" x14ac:dyDescent="0.45">
      <c r="A67" s="18" t="s">
        <v>127</v>
      </c>
      <c r="B67" s="18" t="s">
        <v>16</v>
      </c>
      <c r="C67" s="18" t="s">
        <v>17</v>
      </c>
      <c r="D67" s="18" t="s">
        <v>18</v>
      </c>
      <c r="E67" s="18" t="s">
        <v>19</v>
      </c>
      <c r="F67" s="19" t="s">
        <v>125</v>
      </c>
      <c r="G67" s="20">
        <v>45386</v>
      </c>
      <c r="H67" s="20">
        <v>45386</v>
      </c>
      <c r="I67" s="20">
        <v>45386</v>
      </c>
      <c r="J67" s="21">
        <v>1</v>
      </c>
      <c r="K67" s="18" t="s">
        <v>21</v>
      </c>
      <c r="L67" s="22">
        <v>320129</v>
      </c>
      <c r="M67" s="23">
        <v>-15087.5</v>
      </c>
      <c r="N67" s="23">
        <v>305041.5</v>
      </c>
      <c r="O67" s="19" t="s">
        <v>22</v>
      </c>
    </row>
    <row r="68" spans="1:15" s="4" customFormat="1" ht="19.25" customHeight="1" x14ac:dyDescent="0.45">
      <c r="A68" s="18" t="s">
        <v>128</v>
      </c>
      <c r="B68" s="18" t="s">
        <v>16</v>
      </c>
      <c r="C68" s="18" t="s">
        <v>17</v>
      </c>
      <c r="D68" s="18" t="s">
        <v>18</v>
      </c>
      <c r="E68" s="18" t="s">
        <v>19</v>
      </c>
      <c r="F68" s="19" t="s">
        <v>125</v>
      </c>
      <c r="G68" s="20">
        <v>45386</v>
      </c>
      <c r="H68" s="20">
        <v>45386</v>
      </c>
      <c r="I68" s="20">
        <v>45386</v>
      </c>
      <c r="J68" s="21">
        <v>1</v>
      </c>
      <c r="K68" s="18" t="s">
        <v>21</v>
      </c>
      <c r="L68" s="22">
        <v>320129</v>
      </c>
      <c r="M68" s="23">
        <v>-15087.5</v>
      </c>
      <c r="N68" s="23">
        <v>305041.5</v>
      </c>
      <c r="O68" s="19" t="s">
        <v>22</v>
      </c>
    </row>
    <row r="69" spans="1:15" s="4" customFormat="1" ht="19.25" customHeight="1" x14ac:dyDescent="0.45">
      <c r="A69" s="18" t="s">
        <v>129</v>
      </c>
      <c r="B69" s="18" t="s">
        <v>16</v>
      </c>
      <c r="C69" s="18" t="s">
        <v>17</v>
      </c>
      <c r="D69" s="18" t="s">
        <v>18</v>
      </c>
      <c r="E69" s="18" t="s">
        <v>19</v>
      </c>
      <c r="F69" s="19" t="s">
        <v>125</v>
      </c>
      <c r="G69" s="20">
        <v>45386</v>
      </c>
      <c r="H69" s="20">
        <v>45386</v>
      </c>
      <c r="I69" s="20">
        <v>45386</v>
      </c>
      <c r="J69" s="21">
        <v>1</v>
      </c>
      <c r="K69" s="18" t="s">
        <v>21</v>
      </c>
      <c r="L69" s="22">
        <v>320129</v>
      </c>
      <c r="M69" s="23">
        <v>-15087.5</v>
      </c>
      <c r="N69" s="23">
        <v>305041.5</v>
      </c>
      <c r="O69" s="19" t="s">
        <v>22</v>
      </c>
    </row>
    <row r="70" spans="1:15" s="4" customFormat="1" ht="19.25" customHeight="1" x14ac:dyDescent="0.45">
      <c r="A70" s="18" t="s">
        <v>130</v>
      </c>
      <c r="B70" s="18" t="s">
        <v>16</v>
      </c>
      <c r="C70" s="18" t="s">
        <v>17</v>
      </c>
      <c r="D70" s="18" t="s">
        <v>18</v>
      </c>
      <c r="E70" s="18" t="s">
        <v>19</v>
      </c>
      <c r="F70" s="19" t="s">
        <v>125</v>
      </c>
      <c r="G70" s="20">
        <v>45386</v>
      </c>
      <c r="H70" s="20">
        <v>45386</v>
      </c>
      <c r="I70" s="20">
        <v>45386</v>
      </c>
      <c r="J70" s="21">
        <v>1</v>
      </c>
      <c r="K70" s="18" t="s">
        <v>21</v>
      </c>
      <c r="L70" s="22">
        <v>320129</v>
      </c>
      <c r="M70" s="23">
        <v>-15087.5</v>
      </c>
      <c r="N70" s="23">
        <v>305041.5</v>
      </c>
      <c r="O70" s="19" t="s">
        <v>22</v>
      </c>
    </row>
    <row r="71" spans="1:15" s="4" customFormat="1" ht="19.25" customHeight="1" x14ac:dyDescent="0.45">
      <c r="A71" s="18" t="s">
        <v>131</v>
      </c>
      <c r="B71" s="18" t="s">
        <v>16</v>
      </c>
      <c r="C71" s="18" t="s">
        <v>17</v>
      </c>
      <c r="D71" s="18" t="s">
        <v>18</v>
      </c>
      <c r="E71" s="18" t="s">
        <v>19</v>
      </c>
      <c r="F71" s="19" t="s">
        <v>125</v>
      </c>
      <c r="G71" s="20">
        <v>45386</v>
      </c>
      <c r="H71" s="20">
        <v>45386</v>
      </c>
      <c r="I71" s="20">
        <v>45386</v>
      </c>
      <c r="J71" s="21">
        <v>1</v>
      </c>
      <c r="K71" s="18" t="s">
        <v>21</v>
      </c>
      <c r="L71" s="22">
        <v>320128.46000000002</v>
      </c>
      <c r="M71" s="23">
        <v>-15087.47</v>
      </c>
      <c r="N71" s="23">
        <v>305040.99</v>
      </c>
      <c r="O71" s="19" t="s">
        <v>22</v>
      </c>
    </row>
    <row r="72" spans="1:15" s="4" customFormat="1" ht="19.25" customHeight="1" x14ac:dyDescent="0.45">
      <c r="A72" s="18" t="s">
        <v>132</v>
      </c>
      <c r="B72" s="18" t="s">
        <v>16</v>
      </c>
      <c r="C72" s="18" t="s">
        <v>17</v>
      </c>
      <c r="D72" s="18" t="s">
        <v>18</v>
      </c>
      <c r="E72" s="18" t="s">
        <v>19</v>
      </c>
      <c r="F72" s="19" t="s">
        <v>125</v>
      </c>
      <c r="G72" s="20">
        <v>45386</v>
      </c>
      <c r="H72" s="20">
        <v>45386</v>
      </c>
      <c r="I72" s="20">
        <v>45386</v>
      </c>
      <c r="J72" s="21">
        <v>1</v>
      </c>
      <c r="K72" s="18" t="s">
        <v>21</v>
      </c>
      <c r="L72" s="22">
        <v>320129</v>
      </c>
      <c r="M72" s="23">
        <v>-15087.5</v>
      </c>
      <c r="N72" s="23">
        <v>305041.5</v>
      </c>
      <c r="O72" s="19" t="s">
        <v>22</v>
      </c>
    </row>
    <row r="73" spans="1:15" s="4" customFormat="1" ht="19.25" customHeight="1" x14ac:dyDescent="0.45">
      <c r="A73" s="18" t="s">
        <v>133</v>
      </c>
      <c r="B73" s="18" t="s">
        <v>16</v>
      </c>
      <c r="C73" s="18" t="s">
        <v>17</v>
      </c>
      <c r="D73" s="18" t="s">
        <v>18</v>
      </c>
      <c r="E73" s="18" t="s">
        <v>19</v>
      </c>
      <c r="F73" s="19" t="s">
        <v>125</v>
      </c>
      <c r="G73" s="20">
        <v>45386</v>
      </c>
      <c r="H73" s="20">
        <v>45386</v>
      </c>
      <c r="I73" s="20">
        <v>45386</v>
      </c>
      <c r="J73" s="21">
        <v>1</v>
      </c>
      <c r="K73" s="18" t="s">
        <v>21</v>
      </c>
      <c r="L73" s="22">
        <v>320129</v>
      </c>
      <c r="M73" s="23">
        <v>-15087.5</v>
      </c>
      <c r="N73" s="23">
        <v>305041.5</v>
      </c>
      <c r="O73" s="19" t="s">
        <v>22</v>
      </c>
    </row>
    <row r="74" spans="1:15" s="4" customFormat="1" ht="19.25" customHeight="1" x14ac:dyDescent="0.45">
      <c r="A74" s="18" t="s">
        <v>134</v>
      </c>
      <c r="B74" s="18" t="s">
        <v>16</v>
      </c>
      <c r="C74" s="18" t="s">
        <v>17</v>
      </c>
      <c r="D74" s="18" t="s">
        <v>18</v>
      </c>
      <c r="E74" s="18" t="s">
        <v>19</v>
      </c>
      <c r="F74" s="19" t="s">
        <v>125</v>
      </c>
      <c r="G74" s="20">
        <v>45386</v>
      </c>
      <c r="H74" s="20">
        <v>45386</v>
      </c>
      <c r="I74" s="20">
        <v>45386</v>
      </c>
      <c r="J74" s="21">
        <v>1</v>
      </c>
      <c r="K74" s="18" t="s">
        <v>21</v>
      </c>
      <c r="L74" s="22">
        <v>320129</v>
      </c>
      <c r="M74" s="23">
        <v>-15087.5</v>
      </c>
      <c r="N74" s="23">
        <v>305041.5</v>
      </c>
      <c r="O74" s="19" t="s">
        <v>22</v>
      </c>
    </row>
    <row r="75" spans="1:15" s="4" customFormat="1" ht="19.25" customHeight="1" x14ac:dyDescent="0.45">
      <c r="A75" s="18" t="s">
        <v>135</v>
      </c>
      <c r="B75" s="18" t="s">
        <v>16</v>
      </c>
      <c r="C75" s="18" t="s">
        <v>17</v>
      </c>
      <c r="D75" s="18" t="s">
        <v>18</v>
      </c>
      <c r="E75" s="18" t="s">
        <v>19</v>
      </c>
      <c r="F75" s="19" t="s">
        <v>125</v>
      </c>
      <c r="G75" s="20">
        <v>45386</v>
      </c>
      <c r="H75" s="20">
        <v>45386</v>
      </c>
      <c r="I75" s="20">
        <v>45386</v>
      </c>
      <c r="J75" s="21">
        <v>1</v>
      </c>
      <c r="K75" s="18" t="s">
        <v>21</v>
      </c>
      <c r="L75" s="22">
        <v>320129</v>
      </c>
      <c r="M75" s="23">
        <v>-15087.5</v>
      </c>
      <c r="N75" s="23">
        <v>305041.5</v>
      </c>
      <c r="O75" s="19" t="s">
        <v>22</v>
      </c>
    </row>
    <row r="76" spans="1:15" s="4" customFormat="1" ht="19.25" customHeight="1" x14ac:dyDescent="0.45">
      <c r="A76" s="18" t="s">
        <v>136</v>
      </c>
      <c r="B76" s="18" t="s">
        <v>16</v>
      </c>
      <c r="C76" s="18" t="s">
        <v>17</v>
      </c>
      <c r="D76" s="18" t="s">
        <v>18</v>
      </c>
      <c r="E76" s="18" t="s">
        <v>19</v>
      </c>
      <c r="F76" s="19" t="s">
        <v>125</v>
      </c>
      <c r="G76" s="20">
        <v>45386</v>
      </c>
      <c r="H76" s="20">
        <v>45386</v>
      </c>
      <c r="I76" s="20">
        <v>45386</v>
      </c>
      <c r="J76" s="21">
        <v>1</v>
      </c>
      <c r="K76" s="18" t="s">
        <v>21</v>
      </c>
      <c r="L76" s="22">
        <v>320129</v>
      </c>
      <c r="M76" s="23">
        <v>-15087.5</v>
      </c>
      <c r="N76" s="23">
        <v>305041.5</v>
      </c>
      <c r="O76" s="19" t="s">
        <v>22</v>
      </c>
    </row>
    <row r="77" spans="1:15" s="4" customFormat="1" ht="19.25" customHeight="1" x14ac:dyDescent="0.45">
      <c r="A77" s="18" t="s">
        <v>137</v>
      </c>
      <c r="B77" s="18" t="s">
        <v>78</v>
      </c>
      <c r="C77" s="18" t="s">
        <v>79</v>
      </c>
      <c r="D77" s="18" t="s">
        <v>80</v>
      </c>
      <c r="E77" s="18" t="s">
        <v>81</v>
      </c>
      <c r="F77" s="19" t="s">
        <v>138</v>
      </c>
      <c r="G77" s="20">
        <v>45386</v>
      </c>
      <c r="H77" s="20">
        <v>45386</v>
      </c>
      <c r="I77" s="20">
        <v>45386</v>
      </c>
      <c r="J77" s="21">
        <f>5/11</f>
        <v>0.45454545454545453</v>
      </c>
      <c r="K77" s="18" t="s">
        <v>21</v>
      </c>
      <c r="L77" s="22">
        <f>9600000*5/11</f>
        <v>4363636.3636363633</v>
      </c>
      <c r="M77" s="23">
        <f>-452442.48*5/11</f>
        <v>-205655.67272727273</v>
      </c>
      <c r="N77" s="23">
        <f>9147557.52*5/11</f>
        <v>4157980.6909090905</v>
      </c>
      <c r="O77" s="18" t="s">
        <v>22</v>
      </c>
    </row>
    <row r="78" spans="1:15" s="4" customFormat="1" ht="19.25" customHeight="1" x14ac:dyDescent="0.45">
      <c r="A78" s="18" t="s">
        <v>139</v>
      </c>
      <c r="B78" s="18"/>
      <c r="C78" s="18"/>
      <c r="D78" s="18"/>
      <c r="E78" s="18" t="s">
        <v>81</v>
      </c>
      <c r="F78" s="19" t="s">
        <v>138</v>
      </c>
      <c r="G78" s="20">
        <v>45386</v>
      </c>
      <c r="H78" s="20"/>
      <c r="I78" s="20"/>
      <c r="J78" s="21">
        <f>1/11</f>
        <v>9.0909090909090912E-2</v>
      </c>
      <c r="K78" s="18" t="s">
        <v>21</v>
      </c>
      <c r="L78" s="22">
        <f>9600000*1/11</f>
        <v>872727.27272727271</v>
      </c>
      <c r="M78" s="23">
        <f>-452442.48*1/11</f>
        <v>-41131.134545454544</v>
      </c>
      <c r="N78" s="23">
        <f>9147557.52*1/11</f>
        <v>831596.13818181818</v>
      </c>
      <c r="O78" s="18" t="s">
        <v>102</v>
      </c>
    </row>
    <row r="79" spans="1:15" s="4" customFormat="1" ht="19.25" customHeight="1" x14ac:dyDescent="0.45">
      <c r="A79" s="18" t="s">
        <v>140</v>
      </c>
      <c r="B79" s="18"/>
      <c r="C79" s="18"/>
      <c r="D79" s="18"/>
      <c r="E79" s="18" t="s">
        <v>81</v>
      </c>
      <c r="F79" s="19" t="s">
        <v>138</v>
      </c>
      <c r="G79" s="20">
        <v>45386</v>
      </c>
      <c r="H79" s="20"/>
      <c r="I79" s="20"/>
      <c r="J79" s="21">
        <f>5/11</f>
        <v>0.45454545454545453</v>
      </c>
      <c r="K79" s="18" t="s">
        <v>21</v>
      </c>
      <c r="L79" s="22">
        <f>9600000*5/11</f>
        <v>4363636.3636363633</v>
      </c>
      <c r="M79" s="23">
        <f>-452442.48*5/11</f>
        <v>-205655.67272727273</v>
      </c>
      <c r="N79" s="23">
        <f>9147557.52*5/11</f>
        <v>4157980.6909090905</v>
      </c>
      <c r="O79" s="18" t="s">
        <v>102</v>
      </c>
    </row>
    <row r="80" spans="1:15" s="4" customFormat="1" ht="19.25" customHeight="1" x14ac:dyDescent="0.45">
      <c r="A80" s="18" t="s">
        <v>141</v>
      </c>
      <c r="B80" s="18" t="s">
        <v>57</v>
      </c>
      <c r="C80" s="18" t="s">
        <v>58</v>
      </c>
      <c r="D80" s="18" t="s">
        <v>59</v>
      </c>
      <c r="E80" s="18" t="s">
        <v>60</v>
      </c>
      <c r="F80" s="19" t="s">
        <v>142</v>
      </c>
      <c r="G80" s="20">
        <v>45386</v>
      </c>
      <c r="H80" s="20">
        <v>45386</v>
      </c>
      <c r="I80" s="20">
        <v>45386</v>
      </c>
      <c r="J80" s="21">
        <f>5/11</f>
        <v>0.45454545454545453</v>
      </c>
      <c r="K80" s="18" t="s">
        <v>83</v>
      </c>
      <c r="L80" s="22">
        <f>4268500*5/11</f>
        <v>1940227.2727272727</v>
      </c>
      <c r="M80" s="23">
        <f>-201171.95*5/11</f>
        <v>-91441.795454545456</v>
      </c>
      <c r="N80" s="23">
        <f>4067328.05*5/11</f>
        <v>1848785.4772727273</v>
      </c>
      <c r="O80" s="18" t="s">
        <v>22</v>
      </c>
    </row>
    <row r="81" spans="1:15" s="4" customFormat="1" ht="19.25" customHeight="1" x14ac:dyDescent="0.45">
      <c r="A81" s="18" t="s">
        <v>143</v>
      </c>
      <c r="B81" s="18"/>
      <c r="C81" s="18"/>
      <c r="D81" s="18"/>
      <c r="E81" s="18" t="s">
        <v>60</v>
      </c>
      <c r="F81" s="19" t="s">
        <v>142</v>
      </c>
      <c r="G81" s="20">
        <v>45386</v>
      </c>
      <c r="H81" s="20"/>
      <c r="I81" s="20"/>
      <c r="J81" s="21">
        <f>1/11</f>
        <v>9.0909090909090912E-2</v>
      </c>
      <c r="K81" s="18" t="s">
        <v>83</v>
      </c>
      <c r="L81" s="22">
        <f>4268500*1/11</f>
        <v>388045.45454545453</v>
      </c>
      <c r="M81" s="23">
        <f>-201171.95*1/11</f>
        <v>-18288.359090909093</v>
      </c>
      <c r="N81" s="23">
        <f>4067328.05*1/11</f>
        <v>369757.09545454546</v>
      </c>
      <c r="O81" s="18" t="s">
        <v>102</v>
      </c>
    </row>
    <row r="82" spans="1:15" s="4" customFormat="1" ht="19.25" customHeight="1" x14ac:dyDescent="0.45">
      <c r="A82" s="18" t="s">
        <v>144</v>
      </c>
      <c r="B82" s="18"/>
      <c r="C82" s="18"/>
      <c r="D82" s="18"/>
      <c r="E82" s="18" t="s">
        <v>60</v>
      </c>
      <c r="F82" s="19" t="s">
        <v>142</v>
      </c>
      <c r="G82" s="20">
        <v>45386</v>
      </c>
      <c r="H82" s="20"/>
      <c r="I82" s="20"/>
      <c r="J82" s="21">
        <f>5/11</f>
        <v>0.45454545454545453</v>
      </c>
      <c r="K82" s="18" t="s">
        <v>83</v>
      </c>
      <c r="L82" s="22">
        <f>4268500*5/11</f>
        <v>1940227.2727272727</v>
      </c>
      <c r="M82" s="23">
        <f>-201171.95*5/11</f>
        <v>-91441.795454545456</v>
      </c>
      <c r="N82" s="23">
        <f>4067328.05*5/11</f>
        <v>1848785.4772727273</v>
      </c>
      <c r="O82" s="18" t="s">
        <v>102</v>
      </c>
    </row>
    <row r="83" spans="1:15" s="4" customFormat="1" ht="19.25" customHeight="1" x14ac:dyDescent="0.45">
      <c r="A83" s="18" t="s">
        <v>145</v>
      </c>
      <c r="B83" s="18" t="s">
        <v>57</v>
      </c>
      <c r="C83" s="18" t="s">
        <v>58</v>
      </c>
      <c r="D83" s="18" t="s">
        <v>59</v>
      </c>
      <c r="E83" s="18" t="s">
        <v>60</v>
      </c>
      <c r="F83" s="19" t="s">
        <v>146</v>
      </c>
      <c r="G83" s="20">
        <v>45386</v>
      </c>
      <c r="H83" s="20">
        <v>45386</v>
      </c>
      <c r="I83" s="20">
        <v>45386</v>
      </c>
      <c r="J83" s="21">
        <f>5/11</f>
        <v>0.45454545454545453</v>
      </c>
      <c r="K83" s="18" t="s">
        <v>83</v>
      </c>
      <c r="L83" s="22">
        <f>2240000*5/11</f>
        <v>1018181.8181818182</v>
      </c>
      <c r="M83" s="23">
        <f>-105569.91*5/11</f>
        <v>-47986.322727272731</v>
      </c>
      <c r="N83" s="23">
        <f>2134430.09*5/11</f>
        <v>970195.49545454537</v>
      </c>
      <c r="O83" s="18" t="s">
        <v>22</v>
      </c>
    </row>
    <row r="84" spans="1:15" s="4" customFormat="1" ht="19.25" customHeight="1" x14ac:dyDescent="0.45">
      <c r="A84" s="18" t="s">
        <v>147</v>
      </c>
      <c r="B84" s="18"/>
      <c r="C84" s="18"/>
      <c r="D84" s="18"/>
      <c r="E84" s="18" t="s">
        <v>60</v>
      </c>
      <c r="F84" s="19" t="s">
        <v>146</v>
      </c>
      <c r="G84" s="20">
        <v>45386</v>
      </c>
      <c r="H84" s="20"/>
      <c r="I84" s="20"/>
      <c r="J84" s="21">
        <f>1/11</f>
        <v>9.0909090909090912E-2</v>
      </c>
      <c r="K84" s="18" t="s">
        <v>83</v>
      </c>
      <c r="L84" s="22">
        <f>2240000*1/11</f>
        <v>203636.36363636365</v>
      </c>
      <c r="M84" s="23">
        <f>-105569.91*1/11</f>
        <v>-9597.2645454545454</v>
      </c>
      <c r="N84" s="23">
        <f>2134430.09*1/11</f>
        <v>194039.09909090909</v>
      </c>
      <c r="O84" s="18" t="s">
        <v>102</v>
      </c>
    </row>
    <row r="85" spans="1:15" s="4" customFormat="1" ht="19.25" customHeight="1" x14ac:dyDescent="0.45">
      <c r="A85" s="18" t="s">
        <v>148</v>
      </c>
      <c r="B85" s="18"/>
      <c r="C85" s="18"/>
      <c r="D85" s="18"/>
      <c r="E85" s="18" t="s">
        <v>60</v>
      </c>
      <c r="F85" s="19" t="s">
        <v>146</v>
      </c>
      <c r="G85" s="20">
        <v>45386</v>
      </c>
      <c r="H85" s="20"/>
      <c r="I85" s="20"/>
      <c r="J85" s="21">
        <f>5/11</f>
        <v>0.45454545454545453</v>
      </c>
      <c r="K85" s="18" t="s">
        <v>83</v>
      </c>
      <c r="L85" s="22">
        <f>2240000*5/11</f>
        <v>1018181.8181818182</v>
      </c>
      <c r="M85" s="23">
        <f>-105569.91*5/11</f>
        <v>-47986.322727272731</v>
      </c>
      <c r="N85" s="23">
        <f>2134430.09*5/11</f>
        <v>970195.49545454537</v>
      </c>
      <c r="O85" s="18" t="s">
        <v>102</v>
      </c>
    </row>
    <row r="86" spans="1:15" s="4" customFormat="1" ht="31.25" customHeight="1" x14ac:dyDescent="0.45">
      <c r="A86" s="18" t="s">
        <v>149</v>
      </c>
      <c r="B86" s="18" t="s">
        <v>57</v>
      </c>
      <c r="C86" s="18" t="s">
        <v>58</v>
      </c>
      <c r="D86" s="18" t="s">
        <v>59</v>
      </c>
      <c r="E86" s="18" t="s">
        <v>60</v>
      </c>
      <c r="F86" s="19" t="s">
        <v>859</v>
      </c>
      <c r="G86" s="20">
        <v>45386</v>
      </c>
      <c r="H86" s="20">
        <v>45386</v>
      </c>
      <c r="I86" s="20">
        <v>45386</v>
      </c>
      <c r="J86" s="21">
        <v>9</v>
      </c>
      <c r="K86" s="18" t="s">
        <v>150</v>
      </c>
      <c r="L86" s="22">
        <v>3906179.66</v>
      </c>
      <c r="M86" s="23">
        <v>-184096</v>
      </c>
      <c r="N86" s="23">
        <v>3722083.66</v>
      </c>
      <c r="O86" s="18" t="s">
        <v>102</v>
      </c>
    </row>
    <row r="87" spans="1:15" s="4" customFormat="1" ht="19.25" customHeight="1" x14ac:dyDescent="0.45">
      <c r="A87" s="18" t="s">
        <v>151</v>
      </c>
      <c r="B87" s="18" t="s">
        <v>78</v>
      </c>
      <c r="C87" s="18" t="s">
        <v>79</v>
      </c>
      <c r="D87" s="18" t="s">
        <v>80</v>
      </c>
      <c r="E87" s="18" t="s">
        <v>81</v>
      </c>
      <c r="F87" s="19" t="s">
        <v>152</v>
      </c>
      <c r="G87" s="20">
        <v>45386</v>
      </c>
      <c r="H87" s="20">
        <v>45386</v>
      </c>
      <c r="I87" s="20">
        <v>45386</v>
      </c>
      <c r="J87" s="21">
        <f>5/11</f>
        <v>0.45454545454545453</v>
      </c>
      <c r="K87" s="18" t="s">
        <v>21</v>
      </c>
      <c r="L87" s="22">
        <f>12512600*5/11</f>
        <v>5687545.4545454541</v>
      </c>
      <c r="M87" s="23">
        <f>-589711.64*5/11</f>
        <v>-268050.74545454548</v>
      </c>
      <c r="N87" s="23">
        <f>11922888.36*5/11</f>
        <v>5419494.709090909</v>
      </c>
      <c r="O87" s="18" t="s">
        <v>22</v>
      </c>
    </row>
    <row r="88" spans="1:15" s="4" customFormat="1" ht="19.25" customHeight="1" x14ac:dyDescent="0.45">
      <c r="A88" s="18" t="s">
        <v>153</v>
      </c>
      <c r="B88" s="18"/>
      <c r="C88" s="18"/>
      <c r="D88" s="18"/>
      <c r="E88" s="18" t="s">
        <v>81</v>
      </c>
      <c r="F88" s="19" t="s">
        <v>152</v>
      </c>
      <c r="G88" s="20">
        <v>45386</v>
      </c>
      <c r="H88" s="20"/>
      <c r="I88" s="20"/>
      <c r="J88" s="21">
        <f>1/11</f>
        <v>9.0909090909090912E-2</v>
      </c>
      <c r="K88" s="18" t="s">
        <v>21</v>
      </c>
      <c r="L88" s="22">
        <f>12512600*1/11</f>
        <v>1137509.0909090908</v>
      </c>
      <c r="M88" s="23">
        <f>-589711.64*1/11</f>
        <v>-53610.149090909094</v>
      </c>
      <c r="N88" s="23">
        <f>11922888.36*1/11</f>
        <v>1083898.9418181817</v>
      </c>
      <c r="O88" s="18" t="s">
        <v>102</v>
      </c>
    </row>
    <row r="89" spans="1:15" s="4" customFormat="1" ht="19.25" customHeight="1" x14ac:dyDescent="0.45">
      <c r="A89" s="18" t="s">
        <v>154</v>
      </c>
      <c r="B89" s="18"/>
      <c r="C89" s="18"/>
      <c r="D89" s="18"/>
      <c r="E89" s="18" t="s">
        <v>81</v>
      </c>
      <c r="F89" s="19" t="s">
        <v>152</v>
      </c>
      <c r="G89" s="20">
        <v>45386</v>
      </c>
      <c r="H89" s="20"/>
      <c r="I89" s="20"/>
      <c r="J89" s="21">
        <f>5/11</f>
        <v>0.45454545454545453</v>
      </c>
      <c r="K89" s="18" t="s">
        <v>21</v>
      </c>
      <c r="L89" s="22">
        <f>12512600*5/11</f>
        <v>5687545.4545454541</v>
      </c>
      <c r="M89" s="23">
        <f>-589711.64*5/11</f>
        <v>-268050.74545454548</v>
      </c>
      <c r="N89" s="23">
        <f>11922888.36*5/11</f>
        <v>5419494.709090909</v>
      </c>
      <c r="O89" s="18" t="s">
        <v>102</v>
      </c>
    </row>
    <row r="90" spans="1:15" s="4" customFormat="1" ht="19.25" customHeight="1" x14ac:dyDescent="0.45">
      <c r="A90" s="18" t="s">
        <v>155</v>
      </c>
      <c r="B90" s="18" t="s">
        <v>57</v>
      </c>
      <c r="C90" s="18" t="s">
        <v>58</v>
      </c>
      <c r="D90" s="18" t="s">
        <v>59</v>
      </c>
      <c r="E90" s="18" t="s">
        <v>60</v>
      </c>
      <c r="F90" s="19" t="s">
        <v>156</v>
      </c>
      <c r="G90" s="20">
        <v>45386</v>
      </c>
      <c r="H90" s="20">
        <v>45386</v>
      </c>
      <c r="I90" s="20">
        <v>45386</v>
      </c>
      <c r="J90" s="21">
        <f>5/11</f>
        <v>0.45454545454545453</v>
      </c>
      <c r="K90" s="18" t="s">
        <v>83</v>
      </c>
      <c r="L90" s="22">
        <f>4162500*5/11</f>
        <v>1892045.4545454546</v>
      </c>
      <c r="M90" s="23">
        <f>-196176.23*5/11</f>
        <v>-89171.013636363641</v>
      </c>
      <c r="N90" s="23">
        <f>3966323.77*5/11</f>
        <v>1802874.4409090912</v>
      </c>
      <c r="O90" s="18" t="s">
        <v>22</v>
      </c>
    </row>
    <row r="91" spans="1:15" s="4" customFormat="1" ht="19.25" customHeight="1" x14ac:dyDescent="0.45">
      <c r="A91" s="18" t="s">
        <v>157</v>
      </c>
      <c r="B91" s="18"/>
      <c r="C91" s="18"/>
      <c r="D91" s="18"/>
      <c r="E91" s="18" t="s">
        <v>60</v>
      </c>
      <c r="F91" s="19" t="s">
        <v>156</v>
      </c>
      <c r="G91" s="20">
        <v>45386</v>
      </c>
      <c r="H91" s="20"/>
      <c r="I91" s="20"/>
      <c r="J91" s="21">
        <f>1/11</f>
        <v>9.0909090909090912E-2</v>
      </c>
      <c r="K91" s="18" t="s">
        <v>83</v>
      </c>
      <c r="L91" s="22">
        <f>4162500*1/11</f>
        <v>378409.09090909088</v>
      </c>
      <c r="M91" s="23">
        <f>-196176.23*1/11</f>
        <v>-17834.202727272728</v>
      </c>
      <c r="N91" s="23">
        <f>3966323.77*1/11</f>
        <v>360574.88818181818</v>
      </c>
      <c r="O91" s="18" t="s">
        <v>102</v>
      </c>
    </row>
    <row r="92" spans="1:15" s="4" customFormat="1" ht="19.25" customHeight="1" x14ac:dyDescent="0.45">
      <c r="A92" s="18" t="s">
        <v>158</v>
      </c>
      <c r="B92" s="18"/>
      <c r="C92" s="18"/>
      <c r="D92" s="18"/>
      <c r="E92" s="18" t="s">
        <v>60</v>
      </c>
      <c r="F92" s="19" t="s">
        <v>156</v>
      </c>
      <c r="G92" s="20">
        <v>45386</v>
      </c>
      <c r="H92" s="20"/>
      <c r="I92" s="20"/>
      <c r="J92" s="21">
        <f>5/11</f>
        <v>0.45454545454545453</v>
      </c>
      <c r="K92" s="18" t="s">
        <v>83</v>
      </c>
      <c r="L92" s="22">
        <f>4162500*5/11</f>
        <v>1892045.4545454546</v>
      </c>
      <c r="M92" s="23">
        <f>-196176.23*5/11</f>
        <v>-89171.013636363641</v>
      </c>
      <c r="N92" s="23">
        <f>3966323.77*5/11</f>
        <v>1802874.4409090912</v>
      </c>
      <c r="O92" s="18" t="s">
        <v>102</v>
      </c>
    </row>
    <row r="93" spans="1:15" s="4" customFormat="1" ht="19.25" customHeight="1" x14ac:dyDescent="0.45">
      <c r="A93" s="18" t="s">
        <v>159</v>
      </c>
      <c r="B93" s="18" t="s">
        <v>160</v>
      </c>
      <c r="C93" s="18" t="s">
        <v>161</v>
      </c>
      <c r="D93" s="18" t="s">
        <v>162</v>
      </c>
      <c r="E93" s="18" t="s">
        <v>163</v>
      </c>
      <c r="F93" s="19" t="s">
        <v>164</v>
      </c>
      <c r="G93" s="20">
        <v>45386</v>
      </c>
      <c r="H93" s="20">
        <v>45386</v>
      </c>
      <c r="I93" s="20">
        <v>45386</v>
      </c>
      <c r="J93" s="21">
        <v>1</v>
      </c>
      <c r="K93" s="18" t="s">
        <v>21</v>
      </c>
      <c r="L93" s="22">
        <v>5841300</v>
      </c>
      <c r="M93" s="23">
        <v>-330043.69</v>
      </c>
      <c r="N93" s="23">
        <v>5511256.3099999996</v>
      </c>
      <c r="O93" s="18" t="s">
        <v>22</v>
      </c>
    </row>
    <row r="94" spans="1:15" s="4" customFormat="1" ht="19.25" customHeight="1" x14ac:dyDescent="0.45">
      <c r="A94" s="18" t="s">
        <v>165</v>
      </c>
      <c r="B94" s="18" t="s">
        <v>64</v>
      </c>
      <c r="C94" s="18" t="s">
        <v>65</v>
      </c>
      <c r="D94" s="18" t="s">
        <v>66</v>
      </c>
      <c r="E94" s="18" t="s">
        <v>67</v>
      </c>
      <c r="F94" s="19" t="s">
        <v>166</v>
      </c>
      <c r="G94" s="20">
        <v>45386</v>
      </c>
      <c r="H94" s="20">
        <v>45386</v>
      </c>
      <c r="I94" s="20">
        <v>45386</v>
      </c>
      <c r="J94" s="21">
        <v>0.5</v>
      </c>
      <c r="K94" s="18" t="s">
        <v>21</v>
      </c>
      <c r="L94" s="22">
        <f>3950750.84/2</f>
        <v>1975375.42</v>
      </c>
      <c r="M94" s="23">
        <f>-186196.61/2</f>
        <v>-93098.304999999993</v>
      </c>
      <c r="N94" s="23">
        <f>3764554.23/2</f>
        <v>1882277.115</v>
      </c>
      <c r="O94" s="18" t="s">
        <v>22</v>
      </c>
    </row>
    <row r="95" spans="1:15" s="4" customFormat="1" ht="19.25" customHeight="1" x14ac:dyDescent="0.45">
      <c r="A95" s="18" t="s">
        <v>167</v>
      </c>
      <c r="B95" s="18"/>
      <c r="C95" s="18"/>
      <c r="D95" s="18"/>
      <c r="E95" s="18" t="s">
        <v>67</v>
      </c>
      <c r="F95" s="19" t="s">
        <v>166</v>
      </c>
      <c r="G95" s="20">
        <v>45386</v>
      </c>
      <c r="H95" s="20"/>
      <c r="I95" s="20"/>
      <c r="J95" s="21">
        <v>0.5</v>
      </c>
      <c r="K95" s="18" t="s">
        <v>21</v>
      </c>
      <c r="L95" s="22">
        <f>3950750.84/2</f>
        <v>1975375.42</v>
      </c>
      <c r="M95" s="23">
        <f>-186196.61/2</f>
        <v>-93098.304999999993</v>
      </c>
      <c r="N95" s="23">
        <f>3764554.23/2</f>
        <v>1882277.115</v>
      </c>
      <c r="O95" s="18" t="s">
        <v>102</v>
      </c>
    </row>
    <row r="96" spans="1:15" s="4" customFormat="1" ht="19.25" customHeight="1" x14ac:dyDescent="0.45">
      <c r="A96" s="18" t="s">
        <v>168</v>
      </c>
      <c r="B96" s="18" t="s">
        <v>169</v>
      </c>
      <c r="C96" s="18" t="s">
        <v>170</v>
      </c>
      <c r="D96" s="18" t="s">
        <v>171</v>
      </c>
      <c r="E96" s="18" t="s">
        <v>172</v>
      </c>
      <c r="F96" s="19" t="s">
        <v>173</v>
      </c>
      <c r="G96" s="20">
        <v>45386</v>
      </c>
      <c r="H96" s="20">
        <v>45386</v>
      </c>
      <c r="I96" s="20">
        <v>45386</v>
      </c>
      <c r="J96" s="21">
        <v>1</v>
      </c>
      <c r="K96" s="18" t="s">
        <v>21</v>
      </c>
      <c r="L96" s="22">
        <v>73250</v>
      </c>
      <c r="M96" s="23">
        <v>-3452.23</v>
      </c>
      <c r="N96" s="23">
        <v>69797.77</v>
      </c>
      <c r="O96" s="18" t="s">
        <v>22</v>
      </c>
    </row>
    <row r="97" spans="1:15" s="4" customFormat="1" ht="19.25" customHeight="1" x14ac:dyDescent="0.45">
      <c r="A97" s="18" t="s">
        <v>174</v>
      </c>
      <c r="B97" s="18" t="s">
        <v>169</v>
      </c>
      <c r="C97" s="18" t="s">
        <v>170</v>
      </c>
      <c r="D97" s="18" t="s">
        <v>171</v>
      </c>
      <c r="E97" s="18" t="s">
        <v>172</v>
      </c>
      <c r="F97" s="19" t="s">
        <v>173</v>
      </c>
      <c r="G97" s="20">
        <v>45386</v>
      </c>
      <c r="H97" s="20">
        <v>45386</v>
      </c>
      <c r="I97" s="20">
        <v>45386</v>
      </c>
      <c r="J97" s="21">
        <v>1</v>
      </c>
      <c r="K97" s="18" t="s">
        <v>21</v>
      </c>
      <c r="L97" s="22">
        <v>73250</v>
      </c>
      <c r="M97" s="23">
        <v>-3452.23</v>
      </c>
      <c r="N97" s="23">
        <v>69797.77</v>
      </c>
      <c r="O97" s="18" t="s">
        <v>22</v>
      </c>
    </row>
    <row r="98" spans="1:15" s="4" customFormat="1" ht="19.25" customHeight="1" x14ac:dyDescent="0.45">
      <c r="A98" s="18" t="s">
        <v>175</v>
      </c>
      <c r="B98" s="18" t="s">
        <v>169</v>
      </c>
      <c r="C98" s="18" t="s">
        <v>170</v>
      </c>
      <c r="D98" s="18" t="s">
        <v>171</v>
      </c>
      <c r="E98" s="18" t="s">
        <v>172</v>
      </c>
      <c r="F98" s="19" t="s">
        <v>173</v>
      </c>
      <c r="G98" s="20">
        <v>45386</v>
      </c>
      <c r="H98" s="20">
        <v>45386</v>
      </c>
      <c r="I98" s="20">
        <v>45386</v>
      </c>
      <c r="J98" s="21">
        <v>1</v>
      </c>
      <c r="K98" s="18" t="s">
        <v>21</v>
      </c>
      <c r="L98" s="22">
        <v>73250</v>
      </c>
      <c r="M98" s="23">
        <v>-3452.23</v>
      </c>
      <c r="N98" s="23">
        <v>69797.77</v>
      </c>
      <c r="O98" s="18" t="s">
        <v>22</v>
      </c>
    </row>
    <row r="99" spans="1:15" s="4" customFormat="1" ht="19.25" customHeight="1" x14ac:dyDescent="0.45">
      <c r="A99" s="18" t="s">
        <v>176</v>
      </c>
      <c r="B99" s="18" t="s">
        <v>169</v>
      </c>
      <c r="C99" s="18" t="s">
        <v>170</v>
      </c>
      <c r="D99" s="18" t="s">
        <v>171</v>
      </c>
      <c r="E99" s="18" t="s">
        <v>172</v>
      </c>
      <c r="F99" s="19" t="s">
        <v>173</v>
      </c>
      <c r="G99" s="20">
        <v>45386</v>
      </c>
      <c r="H99" s="20">
        <v>45386</v>
      </c>
      <c r="I99" s="20">
        <v>45386</v>
      </c>
      <c r="J99" s="21">
        <v>1</v>
      </c>
      <c r="K99" s="18" t="s">
        <v>21</v>
      </c>
      <c r="L99" s="22">
        <v>73250</v>
      </c>
      <c r="M99" s="23">
        <v>-3452.23</v>
      </c>
      <c r="N99" s="23">
        <v>69797.77</v>
      </c>
      <c r="O99" s="18" t="s">
        <v>22</v>
      </c>
    </row>
    <row r="100" spans="1:15" s="4" customFormat="1" ht="19.25" customHeight="1" x14ac:dyDescent="0.45">
      <c r="A100" s="18" t="s">
        <v>177</v>
      </c>
      <c r="B100" s="18" t="s">
        <v>169</v>
      </c>
      <c r="C100" s="18" t="s">
        <v>170</v>
      </c>
      <c r="D100" s="18" t="s">
        <v>171</v>
      </c>
      <c r="E100" s="18" t="s">
        <v>172</v>
      </c>
      <c r="F100" s="19" t="s">
        <v>173</v>
      </c>
      <c r="G100" s="20">
        <v>45386</v>
      </c>
      <c r="H100" s="20">
        <v>45386</v>
      </c>
      <c r="I100" s="20">
        <v>45386</v>
      </c>
      <c r="J100" s="21">
        <v>1</v>
      </c>
      <c r="K100" s="18" t="s">
        <v>21</v>
      </c>
      <c r="L100" s="22">
        <v>73250</v>
      </c>
      <c r="M100" s="23">
        <v>-3452.23</v>
      </c>
      <c r="N100" s="23">
        <v>69797.77</v>
      </c>
      <c r="O100" s="18" t="s">
        <v>22</v>
      </c>
    </row>
    <row r="101" spans="1:15" s="4" customFormat="1" ht="19.25" customHeight="1" x14ac:dyDescent="0.45">
      <c r="A101" s="18" t="s">
        <v>178</v>
      </c>
      <c r="B101" s="18" t="s">
        <v>169</v>
      </c>
      <c r="C101" s="18" t="s">
        <v>170</v>
      </c>
      <c r="D101" s="18" t="s">
        <v>171</v>
      </c>
      <c r="E101" s="18" t="s">
        <v>172</v>
      </c>
      <c r="F101" s="19" t="s">
        <v>173</v>
      </c>
      <c r="G101" s="20">
        <v>45386</v>
      </c>
      <c r="H101" s="20">
        <v>45386</v>
      </c>
      <c r="I101" s="20">
        <v>45386</v>
      </c>
      <c r="J101" s="21">
        <v>1</v>
      </c>
      <c r="K101" s="18" t="s">
        <v>21</v>
      </c>
      <c r="L101" s="22">
        <v>73250</v>
      </c>
      <c r="M101" s="23">
        <v>-3452.23</v>
      </c>
      <c r="N101" s="23">
        <v>69797.77</v>
      </c>
      <c r="O101" s="18" t="s">
        <v>102</v>
      </c>
    </row>
    <row r="102" spans="1:15" s="4" customFormat="1" ht="19.25" customHeight="1" x14ac:dyDescent="0.45">
      <c r="A102" s="18" t="s">
        <v>179</v>
      </c>
      <c r="B102" s="18" t="s">
        <v>169</v>
      </c>
      <c r="C102" s="18" t="s">
        <v>170</v>
      </c>
      <c r="D102" s="18" t="s">
        <v>171</v>
      </c>
      <c r="E102" s="18" t="s">
        <v>172</v>
      </c>
      <c r="F102" s="19" t="s">
        <v>173</v>
      </c>
      <c r="G102" s="20">
        <v>45386</v>
      </c>
      <c r="H102" s="20">
        <v>45386</v>
      </c>
      <c r="I102" s="20">
        <v>45386</v>
      </c>
      <c r="J102" s="21">
        <v>1</v>
      </c>
      <c r="K102" s="18" t="s">
        <v>21</v>
      </c>
      <c r="L102" s="22">
        <v>73250</v>
      </c>
      <c r="M102" s="23">
        <v>-3452.23</v>
      </c>
      <c r="N102" s="23">
        <v>69797.77</v>
      </c>
      <c r="O102" s="18" t="s">
        <v>102</v>
      </c>
    </row>
    <row r="103" spans="1:15" s="4" customFormat="1" ht="19.25" customHeight="1" x14ac:dyDescent="0.45">
      <c r="A103" s="18" t="s">
        <v>180</v>
      </c>
      <c r="B103" s="18" t="s">
        <v>169</v>
      </c>
      <c r="C103" s="18" t="s">
        <v>170</v>
      </c>
      <c r="D103" s="18" t="s">
        <v>171</v>
      </c>
      <c r="E103" s="18" t="s">
        <v>172</v>
      </c>
      <c r="F103" s="19" t="s">
        <v>173</v>
      </c>
      <c r="G103" s="20">
        <v>45386</v>
      </c>
      <c r="H103" s="20">
        <v>45386</v>
      </c>
      <c r="I103" s="20">
        <v>45386</v>
      </c>
      <c r="J103" s="21">
        <v>1</v>
      </c>
      <c r="K103" s="18" t="s">
        <v>21</v>
      </c>
      <c r="L103" s="22">
        <v>73250</v>
      </c>
      <c r="M103" s="23">
        <v>-3452.23</v>
      </c>
      <c r="N103" s="23">
        <v>69797.77</v>
      </c>
      <c r="O103" s="18" t="s">
        <v>102</v>
      </c>
    </row>
    <row r="104" spans="1:15" s="4" customFormat="1" ht="19.25" customHeight="1" x14ac:dyDescent="0.45">
      <c r="A104" s="18" t="s">
        <v>181</v>
      </c>
      <c r="B104" s="18" t="s">
        <v>169</v>
      </c>
      <c r="C104" s="18" t="s">
        <v>170</v>
      </c>
      <c r="D104" s="18" t="s">
        <v>171</v>
      </c>
      <c r="E104" s="18" t="s">
        <v>172</v>
      </c>
      <c r="F104" s="19" t="s">
        <v>173</v>
      </c>
      <c r="G104" s="20">
        <v>45386</v>
      </c>
      <c r="H104" s="20">
        <v>45386</v>
      </c>
      <c r="I104" s="20">
        <v>45386</v>
      </c>
      <c r="J104" s="21">
        <v>1</v>
      </c>
      <c r="K104" s="18" t="s">
        <v>21</v>
      </c>
      <c r="L104" s="22">
        <v>73250</v>
      </c>
      <c r="M104" s="23">
        <v>-3452.23</v>
      </c>
      <c r="N104" s="23">
        <v>69797.77</v>
      </c>
      <c r="O104" s="18" t="s">
        <v>102</v>
      </c>
    </row>
    <row r="105" spans="1:15" s="4" customFormat="1" ht="19.25" customHeight="1" x14ac:dyDescent="0.45">
      <c r="A105" s="18" t="s">
        <v>182</v>
      </c>
      <c r="B105" s="18" t="s">
        <v>169</v>
      </c>
      <c r="C105" s="18" t="s">
        <v>170</v>
      </c>
      <c r="D105" s="18" t="s">
        <v>171</v>
      </c>
      <c r="E105" s="18" t="s">
        <v>172</v>
      </c>
      <c r="F105" s="19" t="s">
        <v>173</v>
      </c>
      <c r="G105" s="20">
        <v>45386</v>
      </c>
      <c r="H105" s="20">
        <v>45386</v>
      </c>
      <c r="I105" s="20">
        <v>45386</v>
      </c>
      <c r="J105" s="21">
        <v>1</v>
      </c>
      <c r="K105" s="18" t="s">
        <v>21</v>
      </c>
      <c r="L105" s="22">
        <v>73250</v>
      </c>
      <c r="M105" s="23">
        <v>-3452.23</v>
      </c>
      <c r="N105" s="23">
        <v>69797.77</v>
      </c>
      <c r="O105" s="18" t="s">
        <v>102</v>
      </c>
    </row>
    <row r="106" spans="1:15" s="4" customFormat="1" ht="19.25" customHeight="1" x14ac:dyDescent="0.45">
      <c r="A106" s="18" t="s">
        <v>183</v>
      </c>
      <c r="B106" s="18" t="s">
        <v>169</v>
      </c>
      <c r="C106" s="18" t="s">
        <v>170</v>
      </c>
      <c r="D106" s="18" t="s">
        <v>171</v>
      </c>
      <c r="E106" s="18" t="s">
        <v>172</v>
      </c>
      <c r="F106" s="19" t="s">
        <v>173</v>
      </c>
      <c r="G106" s="20">
        <v>45386</v>
      </c>
      <c r="H106" s="20">
        <v>45386</v>
      </c>
      <c r="I106" s="20">
        <v>45386</v>
      </c>
      <c r="J106" s="21">
        <v>1</v>
      </c>
      <c r="K106" s="18" t="s">
        <v>21</v>
      </c>
      <c r="L106" s="22">
        <v>73250</v>
      </c>
      <c r="M106" s="23">
        <v>-3452.23</v>
      </c>
      <c r="N106" s="23">
        <v>69797.77</v>
      </c>
      <c r="O106" s="18" t="s">
        <v>102</v>
      </c>
    </row>
    <row r="107" spans="1:15" s="4" customFormat="1" ht="19.25" customHeight="1" x14ac:dyDescent="0.45">
      <c r="A107" s="18" t="s">
        <v>184</v>
      </c>
      <c r="B107" s="18" t="s">
        <v>169</v>
      </c>
      <c r="C107" s="18" t="s">
        <v>170</v>
      </c>
      <c r="D107" s="18" t="s">
        <v>171</v>
      </c>
      <c r="E107" s="18" t="s">
        <v>172</v>
      </c>
      <c r="F107" s="19" t="s">
        <v>185</v>
      </c>
      <c r="G107" s="20">
        <v>45386</v>
      </c>
      <c r="H107" s="20">
        <v>45386</v>
      </c>
      <c r="I107" s="20">
        <v>45386</v>
      </c>
      <c r="J107" s="21">
        <v>1</v>
      </c>
      <c r="K107" s="18" t="s">
        <v>83</v>
      </c>
      <c r="L107" s="22">
        <v>73250.84</v>
      </c>
      <c r="M107" s="23">
        <v>-3452.27</v>
      </c>
      <c r="N107" s="23">
        <v>69798.570000000007</v>
      </c>
      <c r="O107" s="18" t="s">
        <v>22</v>
      </c>
    </row>
    <row r="108" spans="1:15" s="4" customFormat="1" ht="19.25" customHeight="1" x14ac:dyDescent="0.45">
      <c r="A108" s="18" t="s">
        <v>186</v>
      </c>
      <c r="B108" s="18" t="s">
        <v>169</v>
      </c>
      <c r="C108" s="18" t="s">
        <v>170</v>
      </c>
      <c r="D108" s="18" t="s">
        <v>171</v>
      </c>
      <c r="E108" s="18" t="s">
        <v>172</v>
      </c>
      <c r="F108" s="19" t="s">
        <v>185</v>
      </c>
      <c r="G108" s="20">
        <v>45386</v>
      </c>
      <c r="H108" s="20">
        <v>45386</v>
      </c>
      <c r="I108" s="20">
        <v>45386</v>
      </c>
      <c r="J108" s="21">
        <v>1</v>
      </c>
      <c r="K108" s="18" t="s">
        <v>83</v>
      </c>
      <c r="L108" s="22">
        <v>73250</v>
      </c>
      <c r="M108" s="23">
        <v>-3452.23</v>
      </c>
      <c r="N108" s="23">
        <v>69797.77</v>
      </c>
      <c r="O108" s="18" t="s">
        <v>22</v>
      </c>
    </row>
    <row r="109" spans="1:15" s="4" customFormat="1" ht="19.25" customHeight="1" x14ac:dyDescent="0.45">
      <c r="A109" s="18" t="s">
        <v>187</v>
      </c>
      <c r="B109" s="18" t="s">
        <v>169</v>
      </c>
      <c r="C109" s="18" t="s">
        <v>170</v>
      </c>
      <c r="D109" s="18" t="s">
        <v>171</v>
      </c>
      <c r="E109" s="18" t="s">
        <v>172</v>
      </c>
      <c r="F109" s="19" t="s">
        <v>185</v>
      </c>
      <c r="G109" s="20">
        <v>45386</v>
      </c>
      <c r="H109" s="20">
        <v>45386</v>
      </c>
      <c r="I109" s="20">
        <v>45386</v>
      </c>
      <c r="J109" s="21">
        <v>1</v>
      </c>
      <c r="K109" s="18" t="s">
        <v>83</v>
      </c>
      <c r="L109" s="22">
        <v>73250</v>
      </c>
      <c r="M109" s="23">
        <v>-3452.23</v>
      </c>
      <c r="N109" s="23">
        <v>69797.77</v>
      </c>
      <c r="O109" s="18" t="s">
        <v>22</v>
      </c>
    </row>
    <row r="110" spans="1:15" s="4" customFormat="1" ht="19.25" customHeight="1" x14ac:dyDescent="0.45">
      <c r="A110" s="18" t="s">
        <v>188</v>
      </c>
      <c r="B110" s="18" t="s">
        <v>169</v>
      </c>
      <c r="C110" s="18" t="s">
        <v>170</v>
      </c>
      <c r="D110" s="18" t="s">
        <v>171</v>
      </c>
      <c r="E110" s="18" t="s">
        <v>172</v>
      </c>
      <c r="F110" s="19" t="s">
        <v>185</v>
      </c>
      <c r="G110" s="20">
        <v>45386</v>
      </c>
      <c r="H110" s="20">
        <v>45386</v>
      </c>
      <c r="I110" s="20">
        <v>45386</v>
      </c>
      <c r="J110" s="21">
        <v>1</v>
      </c>
      <c r="K110" s="18" t="s">
        <v>83</v>
      </c>
      <c r="L110" s="22">
        <v>73250</v>
      </c>
      <c r="M110" s="23">
        <v>-3452.23</v>
      </c>
      <c r="N110" s="23">
        <v>69797.77</v>
      </c>
      <c r="O110" s="18" t="s">
        <v>22</v>
      </c>
    </row>
    <row r="111" spans="1:15" s="4" customFormat="1" ht="19.25" customHeight="1" x14ac:dyDescent="0.45">
      <c r="A111" s="18" t="s">
        <v>189</v>
      </c>
      <c r="B111" s="18" t="s">
        <v>169</v>
      </c>
      <c r="C111" s="18" t="s">
        <v>170</v>
      </c>
      <c r="D111" s="18" t="s">
        <v>171</v>
      </c>
      <c r="E111" s="18" t="s">
        <v>172</v>
      </c>
      <c r="F111" s="19" t="s">
        <v>185</v>
      </c>
      <c r="G111" s="20">
        <v>45386</v>
      </c>
      <c r="H111" s="20">
        <v>45386</v>
      </c>
      <c r="I111" s="20">
        <v>45386</v>
      </c>
      <c r="J111" s="21">
        <v>1</v>
      </c>
      <c r="K111" s="18" t="s">
        <v>83</v>
      </c>
      <c r="L111" s="22">
        <v>73250</v>
      </c>
      <c r="M111" s="23">
        <v>-3452.23</v>
      </c>
      <c r="N111" s="23">
        <v>69797.77</v>
      </c>
      <c r="O111" s="18" t="s">
        <v>22</v>
      </c>
    </row>
    <row r="112" spans="1:15" s="4" customFormat="1" ht="19.25" customHeight="1" x14ac:dyDescent="0.45">
      <c r="A112" s="18" t="s">
        <v>190</v>
      </c>
      <c r="B112" s="18" t="s">
        <v>169</v>
      </c>
      <c r="C112" s="18" t="s">
        <v>170</v>
      </c>
      <c r="D112" s="18" t="s">
        <v>171</v>
      </c>
      <c r="E112" s="18" t="s">
        <v>172</v>
      </c>
      <c r="F112" s="19" t="s">
        <v>185</v>
      </c>
      <c r="G112" s="20">
        <v>45386</v>
      </c>
      <c r="H112" s="20">
        <v>45386</v>
      </c>
      <c r="I112" s="20">
        <v>45386</v>
      </c>
      <c r="J112" s="21">
        <v>1</v>
      </c>
      <c r="K112" s="18" t="s">
        <v>83</v>
      </c>
      <c r="L112" s="22">
        <v>73250</v>
      </c>
      <c r="M112" s="23">
        <v>-3452.23</v>
      </c>
      <c r="N112" s="23">
        <v>69797.77</v>
      </c>
      <c r="O112" s="18" t="s">
        <v>102</v>
      </c>
    </row>
    <row r="113" spans="1:15" s="4" customFormat="1" ht="19.25" customHeight="1" x14ac:dyDescent="0.45">
      <c r="A113" s="18" t="s">
        <v>191</v>
      </c>
      <c r="B113" s="18" t="s">
        <v>169</v>
      </c>
      <c r="C113" s="18" t="s">
        <v>170</v>
      </c>
      <c r="D113" s="18" t="s">
        <v>171</v>
      </c>
      <c r="E113" s="18" t="s">
        <v>172</v>
      </c>
      <c r="F113" s="19" t="s">
        <v>185</v>
      </c>
      <c r="G113" s="20">
        <v>45386</v>
      </c>
      <c r="H113" s="20">
        <v>45386</v>
      </c>
      <c r="I113" s="20">
        <v>45386</v>
      </c>
      <c r="J113" s="21">
        <v>1</v>
      </c>
      <c r="K113" s="18" t="s">
        <v>83</v>
      </c>
      <c r="L113" s="22">
        <v>73250</v>
      </c>
      <c r="M113" s="23">
        <v>-3452.23</v>
      </c>
      <c r="N113" s="23">
        <v>69797.77</v>
      </c>
      <c r="O113" s="18" t="s">
        <v>102</v>
      </c>
    </row>
    <row r="114" spans="1:15" s="4" customFormat="1" ht="19.25" customHeight="1" x14ac:dyDescent="0.45">
      <c r="A114" s="18" t="s">
        <v>192</v>
      </c>
      <c r="B114" s="18" t="s">
        <v>169</v>
      </c>
      <c r="C114" s="18" t="s">
        <v>170</v>
      </c>
      <c r="D114" s="18" t="s">
        <v>171</v>
      </c>
      <c r="E114" s="18" t="s">
        <v>172</v>
      </c>
      <c r="F114" s="19" t="s">
        <v>185</v>
      </c>
      <c r="G114" s="20">
        <v>45386</v>
      </c>
      <c r="H114" s="20">
        <v>45386</v>
      </c>
      <c r="I114" s="20">
        <v>45386</v>
      </c>
      <c r="J114" s="21">
        <v>1</v>
      </c>
      <c r="K114" s="18" t="s">
        <v>83</v>
      </c>
      <c r="L114" s="22">
        <v>73250</v>
      </c>
      <c r="M114" s="23">
        <v>-3452.23</v>
      </c>
      <c r="N114" s="23">
        <v>69797.77</v>
      </c>
      <c r="O114" s="18" t="s">
        <v>102</v>
      </c>
    </row>
    <row r="115" spans="1:15" s="4" customFormat="1" ht="19.25" customHeight="1" x14ac:dyDescent="0.45">
      <c r="A115" s="18" t="s">
        <v>193</v>
      </c>
      <c r="B115" s="18" t="s">
        <v>169</v>
      </c>
      <c r="C115" s="18" t="s">
        <v>170</v>
      </c>
      <c r="D115" s="18" t="s">
        <v>171</v>
      </c>
      <c r="E115" s="18" t="s">
        <v>172</v>
      </c>
      <c r="F115" s="19" t="s">
        <v>185</v>
      </c>
      <c r="G115" s="20">
        <v>45386</v>
      </c>
      <c r="H115" s="20">
        <v>45386</v>
      </c>
      <c r="I115" s="20">
        <v>45386</v>
      </c>
      <c r="J115" s="21">
        <v>1</v>
      </c>
      <c r="K115" s="18" t="s">
        <v>83</v>
      </c>
      <c r="L115" s="22">
        <v>73250</v>
      </c>
      <c r="M115" s="23">
        <v>-3452.23</v>
      </c>
      <c r="N115" s="23">
        <v>69797.77</v>
      </c>
      <c r="O115" s="18" t="s">
        <v>102</v>
      </c>
    </row>
    <row r="116" spans="1:15" s="4" customFormat="1" ht="19.25" customHeight="1" x14ac:dyDescent="0.45">
      <c r="A116" s="18" t="s">
        <v>194</v>
      </c>
      <c r="B116" s="18" t="s">
        <v>169</v>
      </c>
      <c r="C116" s="18" t="s">
        <v>170</v>
      </c>
      <c r="D116" s="18" t="s">
        <v>171</v>
      </c>
      <c r="E116" s="18" t="s">
        <v>172</v>
      </c>
      <c r="F116" s="19" t="s">
        <v>185</v>
      </c>
      <c r="G116" s="20">
        <v>45386</v>
      </c>
      <c r="H116" s="20">
        <v>45386</v>
      </c>
      <c r="I116" s="20">
        <v>45386</v>
      </c>
      <c r="J116" s="21">
        <v>1</v>
      </c>
      <c r="K116" s="18" t="s">
        <v>83</v>
      </c>
      <c r="L116" s="22">
        <v>73250</v>
      </c>
      <c r="M116" s="23">
        <v>-3452.23</v>
      </c>
      <c r="N116" s="23">
        <v>69797.77</v>
      </c>
      <c r="O116" s="18" t="s">
        <v>102</v>
      </c>
    </row>
    <row r="117" spans="1:15" s="4" customFormat="1" ht="19.25" customHeight="1" x14ac:dyDescent="0.45">
      <c r="A117" s="18" t="s">
        <v>195</v>
      </c>
      <c r="B117" s="18" t="s">
        <v>169</v>
      </c>
      <c r="C117" s="18" t="s">
        <v>170</v>
      </c>
      <c r="D117" s="18" t="s">
        <v>171</v>
      </c>
      <c r="E117" s="18" t="s">
        <v>172</v>
      </c>
      <c r="F117" s="19" t="s">
        <v>185</v>
      </c>
      <c r="G117" s="20">
        <v>45386</v>
      </c>
      <c r="H117" s="20">
        <v>45386</v>
      </c>
      <c r="I117" s="20">
        <v>45386</v>
      </c>
      <c r="J117" s="21">
        <v>1</v>
      </c>
      <c r="K117" s="18" t="s">
        <v>83</v>
      </c>
      <c r="L117" s="22">
        <v>73250</v>
      </c>
      <c r="M117" s="23">
        <v>-3452.23</v>
      </c>
      <c r="N117" s="23">
        <v>69797.77</v>
      </c>
      <c r="O117" s="18" t="s">
        <v>102</v>
      </c>
    </row>
    <row r="118" spans="1:15" s="4" customFormat="1" ht="19.25" customHeight="1" x14ac:dyDescent="0.45">
      <c r="A118" s="18" t="s">
        <v>196</v>
      </c>
      <c r="B118" s="18" t="s">
        <v>197</v>
      </c>
      <c r="C118" s="18" t="s">
        <v>198</v>
      </c>
      <c r="D118" s="18" t="s">
        <v>199</v>
      </c>
      <c r="E118" s="18" t="s">
        <v>200</v>
      </c>
      <c r="F118" s="19" t="s">
        <v>201</v>
      </c>
      <c r="G118" s="20">
        <v>45386</v>
      </c>
      <c r="H118" s="20">
        <v>45386</v>
      </c>
      <c r="I118" s="20">
        <v>45386</v>
      </c>
      <c r="J118" s="21">
        <v>1</v>
      </c>
      <c r="K118" s="18" t="s">
        <v>21</v>
      </c>
      <c r="L118" s="22">
        <v>480000</v>
      </c>
      <c r="M118" s="23">
        <v>-22622.12</v>
      </c>
      <c r="N118" s="23">
        <v>457377.88</v>
      </c>
      <c r="O118" s="18" t="s">
        <v>22</v>
      </c>
    </row>
    <row r="119" spans="1:15" s="4" customFormat="1" ht="19.25" customHeight="1" x14ac:dyDescent="0.45">
      <c r="A119" s="18" t="s">
        <v>202</v>
      </c>
      <c r="B119" s="18" t="s">
        <v>96</v>
      </c>
      <c r="C119" s="18" t="s">
        <v>97</v>
      </c>
      <c r="D119" s="18" t="s">
        <v>98</v>
      </c>
      <c r="E119" s="18" t="s">
        <v>99</v>
      </c>
      <c r="F119" s="19" t="s">
        <v>203</v>
      </c>
      <c r="G119" s="20">
        <v>45386</v>
      </c>
      <c r="H119" s="20">
        <v>45386</v>
      </c>
      <c r="I119" s="20">
        <v>45386</v>
      </c>
      <c r="J119" s="21">
        <v>2</v>
      </c>
      <c r="K119" s="18" t="s">
        <v>21</v>
      </c>
      <c r="L119" s="22">
        <v>1601770.34</v>
      </c>
      <c r="M119" s="23">
        <v>-75490.509999999995</v>
      </c>
      <c r="N119" s="23">
        <v>1526279.83</v>
      </c>
      <c r="O119" s="18" t="s">
        <v>22</v>
      </c>
    </row>
    <row r="120" spans="1:15" s="4" customFormat="1" ht="19.25" customHeight="1" x14ac:dyDescent="0.45">
      <c r="A120" s="18" t="s">
        <v>204</v>
      </c>
      <c r="B120" s="18" t="s">
        <v>16</v>
      </c>
      <c r="C120" s="18" t="s">
        <v>17</v>
      </c>
      <c r="D120" s="18" t="s">
        <v>18</v>
      </c>
      <c r="E120" s="18" t="s">
        <v>19</v>
      </c>
      <c r="F120" s="19" t="s">
        <v>205</v>
      </c>
      <c r="G120" s="20">
        <v>45386</v>
      </c>
      <c r="H120" s="20">
        <v>45386</v>
      </c>
      <c r="I120" s="20">
        <v>45386</v>
      </c>
      <c r="J120" s="21">
        <v>1</v>
      </c>
      <c r="K120" s="18" t="s">
        <v>21</v>
      </c>
      <c r="L120" s="22">
        <v>320128.26</v>
      </c>
      <c r="M120" s="23">
        <v>-15087.46</v>
      </c>
      <c r="N120" s="23">
        <v>305040.8</v>
      </c>
      <c r="O120" s="19" t="s">
        <v>22</v>
      </c>
    </row>
    <row r="121" spans="1:15" s="4" customFormat="1" ht="19.25" customHeight="1" x14ac:dyDescent="0.45">
      <c r="A121" s="18" t="s">
        <v>206</v>
      </c>
      <c r="B121" s="18" t="s">
        <v>16</v>
      </c>
      <c r="C121" s="18" t="s">
        <v>17</v>
      </c>
      <c r="D121" s="18" t="s">
        <v>18</v>
      </c>
      <c r="E121" s="18" t="s">
        <v>19</v>
      </c>
      <c r="F121" s="19" t="s">
        <v>205</v>
      </c>
      <c r="G121" s="20">
        <v>45386</v>
      </c>
      <c r="H121" s="20">
        <v>45386</v>
      </c>
      <c r="I121" s="20">
        <v>45386</v>
      </c>
      <c r="J121" s="21">
        <v>1</v>
      </c>
      <c r="K121" s="18" t="s">
        <v>21</v>
      </c>
      <c r="L121" s="22">
        <v>320129</v>
      </c>
      <c r="M121" s="23">
        <v>-15087.5</v>
      </c>
      <c r="N121" s="23">
        <v>305041.5</v>
      </c>
      <c r="O121" s="19" t="s">
        <v>22</v>
      </c>
    </row>
    <row r="122" spans="1:15" s="4" customFormat="1" ht="19.25" customHeight="1" x14ac:dyDescent="0.45">
      <c r="A122" s="18" t="s">
        <v>207</v>
      </c>
      <c r="B122" s="18" t="s">
        <v>16</v>
      </c>
      <c r="C122" s="18" t="s">
        <v>17</v>
      </c>
      <c r="D122" s="18" t="s">
        <v>18</v>
      </c>
      <c r="E122" s="18" t="s">
        <v>19</v>
      </c>
      <c r="F122" s="19" t="s">
        <v>205</v>
      </c>
      <c r="G122" s="20">
        <v>45386</v>
      </c>
      <c r="H122" s="20">
        <v>45386</v>
      </c>
      <c r="I122" s="20">
        <v>45386</v>
      </c>
      <c r="J122" s="21">
        <v>1</v>
      </c>
      <c r="K122" s="18" t="s">
        <v>21</v>
      </c>
      <c r="L122" s="22">
        <v>320129</v>
      </c>
      <c r="M122" s="23">
        <v>-15087.5</v>
      </c>
      <c r="N122" s="23">
        <v>305041.5</v>
      </c>
      <c r="O122" s="19" t="s">
        <v>22</v>
      </c>
    </row>
    <row r="123" spans="1:15" s="4" customFormat="1" ht="19.25" customHeight="1" x14ac:dyDescent="0.45">
      <c r="A123" s="18" t="s">
        <v>208</v>
      </c>
      <c r="B123" s="18" t="s">
        <v>16</v>
      </c>
      <c r="C123" s="18" t="s">
        <v>17</v>
      </c>
      <c r="D123" s="18" t="s">
        <v>18</v>
      </c>
      <c r="E123" s="18" t="s">
        <v>19</v>
      </c>
      <c r="F123" s="19" t="s">
        <v>205</v>
      </c>
      <c r="G123" s="20">
        <v>45386</v>
      </c>
      <c r="H123" s="20">
        <v>45386</v>
      </c>
      <c r="I123" s="20">
        <v>45386</v>
      </c>
      <c r="J123" s="21">
        <v>1</v>
      </c>
      <c r="K123" s="18" t="s">
        <v>21</v>
      </c>
      <c r="L123" s="22">
        <v>320129</v>
      </c>
      <c r="M123" s="23">
        <v>-15087.5</v>
      </c>
      <c r="N123" s="23">
        <v>305041.5</v>
      </c>
      <c r="O123" s="19" t="s">
        <v>22</v>
      </c>
    </row>
    <row r="124" spans="1:15" s="4" customFormat="1" ht="29.35" customHeight="1" x14ac:dyDescent="0.45">
      <c r="A124" s="18" t="s">
        <v>209</v>
      </c>
      <c r="B124" s="18" t="s">
        <v>57</v>
      </c>
      <c r="C124" s="18" t="s">
        <v>58</v>
      </c>
      <c r="D124" s="18" t="s">
        <v>59</v>
      </c>
      <c r="E124" s="18" t="s">
        <v>60</v>
      </c>
      <c r="F124" s="19" t="s">
        <v>210</v>
      </c>
      <c r="G124" s="20">
        <v>45386</v>
      </c>
      <c r="H124" s="20">
        <v>45386</v>
      </c>
      <c r="I124" s="20">
        <v>45386</v>
      </c>
      <c r="J124" s="21">
        <v>1</v>
      </c>
      <c r="K124" s="18" t="s">
        <v>21</v>
      </c>
      <c r="L124" s="22">
        <v>344753.36</v>
      </c>
      <c r="M124" s="23">
        <v>-16248.03</v>
      </c>
      <c r="N124" s="23">
        <v>328505.33</v>
      </c>
      <c r="O124" s="18" t="s">
        <v>22</v>
      </c>
    </row>
    <row r="125" spans="1:15" s="4" customFormat="1" ht="29.35" customHeight="1" x14ac:dyDescent="0.45">
      <c r="A125" s="18" t="s">
        <v>211</v>
      </c>
      <c r="B125" s="18" t="s">
        <v>57</v>
      </c>
      <c r="C125" s="18" t="s">
        <v>58</v>
      </c>
      <c r="D125" s="18" t="s">
        <v>59</v>
      </c>
      <c r="E125" s="18" t="s">
        <v>60</v>
      </c>
      <c r="F125" s="19" t="s">
        <v>210</v>
      </c>
      <c r="G125" s="20">
        <v>45386</v>
      </c>
      <c r="H125" s="20">
        <v>45386</v>
      </c>
      <c r="I125" s="20">
        <v>45386</v>
      </c>
      <c r="J125" s="21">
        <v>1</v>
      </c>
      <c r="K125" s="18" t="s">
        <v>21</v>
      </c>
      <c r="L125" s="22">
        <v>344754</v>
      </c>
      <c r="M125" s="23">
        <v>-16248.06</v>
      </c>
      <c r="N125" s="23">
        <v>328505.94</v>
      </c>
      <c r="O125" s="18" t="s">
        <v>22</v>
      </c>
    </row>
    <row r="126" spans="1:15" s="4" customFormat="1" ht="29.35" customHeight="1" x14ac:dyDescent="0.45">
      <c r="A126" s="18" t="s">
        <v>212</v>
      </c>
      <c r="B126" s="18" t="s">
        <v>57</v>
      </c>
      <c r="C126" s="18" t="s">
        <v>58</v>
      </c>
      <c r="D126" s="18" t="s">
        <v>59</v>
      </c>
      <c r="E126" s="18" t="s">
        <v>60</v>
      </c>
      <c r="F126" s="19" t="s">
        <v>210</v>
      </c>
      <c r="G126" s="20">
        <v>45386</v>
      </c>
      <c r="H126" s="20">
        <v>45386</v>
      </c>
      <c r="I126" s="20">
        <v>45386</v>
      </c>
      <c r="J126" s="21">
        <v>1</v>
      </c>
      <c r="K126" s="18" t="s">
        <v>21</v>
      </c>
      <c r="L126" s="22">
        <v>344754</v>
      </c>
      <c r="M126" s="23">
        <v>-16248.06</v>
      </c>
      <c r="N126" s="23">
        <v>328505.94</v>
      </c>
      <c r="O126" s="18" t="s">
        <v>22</v>
      </c>
    </row>
    <row r="127" spans="1:15" s="4" customFormat="1" ht="29.35" customHeight="1" x14ac:dyDescent="0.45">
      <c r="A127" s="18" t="s">
        <v>213</v>
      </c>
      <c r="B127" s="18" t="s">
        <v>57</v>
      </c>
      <c r="C127" s="18" t="s">
        <v>58</v>
      </c>
      <c r="D127" s="18" t="s">
        <v>59</v>
      </c>
      <c r="E127" s="18" t="s">
        <v>60</v>
      </c>
      <c r="F127" s="19" t="s">
        <v>210</v>
      </c>
      <c r="G127" s="20">
        <v>45386</v>
      </c>
      <c r="H127" s="20">
        <v>45386</v>
      </c>
      <c r="I127" s="20">
        <v>45386</v>
      </c>
      <c r="J127" s="21">
        <v>1</v>
      </c>
      <c r="K127" s="18" t="s">
        <v>21</v>
      </c>
      <c r="L127" s="22">
        <v>344754</v>
      </c>
      <c r="M127" s="23">
        <v>-16248.06</v>
      </c>
      <c r="N127" s="23">
        <v>328505.94</v>
      </c>
      <c r="O127" s="18" t="s">
        <v>22</v>
      </c>
    </row>
    <row r="128" spans="1:15" s="4" customFormat="1" ht="19.25" customHeight="1" x14ac:dyDescent="0.45">
      <c r="A128" s="18" t="s">
        <v>214</v>
      </c>
      <c r="B128" s="18" t="s">
        <v>16</v>
      </c>
      <c r="C128" s="18" t="s">
        <v>17</v>
      </c>
      <c r="D128" s="18" t="s">
        <v>18</v>
      </c>
      <c r="E128" s="18" t="s">
        <v>19</v>
      </c>
      <c r="F128" s="19" t="s">
        <v>215</v>
      </c>
      <c r="G128" s="20">
        <v>45386</v>
      </c>
      <c r="H128" s="20">
        <v>45386</v>
      </c>
      <c r="I128" s="20">
        <v>45386</v>
      </c>
      <c r="J128" s="21">
        <v>1</v>
      </c>
      <c r="K128" s="18" t="s">
        <v>21</v>
      </c>
      <c r="L128" s="22">
        <v>344754</v>
      </c>
      <c r="M128" s="23">
        <v>-16248.06</v>
      </c>
      <c r="N128" s="23">
        <v>328505.94</v>
      </c>
      <c r="O128" s="18" t="s">
        <v>22</v>
      </c>
    </row>
    <row r="129" spans="1:15" s="4" customFormat="1" ht="19.25" customHeight="1" x14ac:dyDescent="0.45">
      <c r="A129" s="18" t="s">
        <v>216</v>
      </c>
      <c r="B129" s="18" t="s">
        <v>16</v>
      </c>
      <c r="C129" s="18" t="s">
        <v>17</v>
      </c>
      <c r="D129" s="18" t="s">
        <v>18</v>
      </c>
      <c r="E129" s="18" t="s">
        <v>19</v>
      </c>
      <c r="F129" s="19" t="s">
        <v>215</v>
      </c>
      <c r="G129" s="20">
        <v>45386</v>
      </c>
      <c r="H129" s="20">
        <v>45386</v>
      </c>
      <c r="I129" s="20">
        <v>45386</v>
      </c>
      <c r="J129" s="21">
        <v>1</v>
      </c>
      <c r="K129" s="18" t="s">
        <v>21</v>
      </c>
      <c r="L129" s="22">
        <v>344754</v>
      </c>
      <c r="M129" s="23">
        <v>-16248.06</v>
      </c>
      <c r="N129" s="23">
        <v>328505.94</v>
      </c>
      <c r="O129" s="18" t="s">
        <v>22</v>
      </c>
    </row>
    <row r="130" spans="1:15" s="4" customFormat="1" ht="19.25" customHeight="1" x14ac:dyDescent="0.45">
      <c r="A130" s="18" t="s">
        <v>217</v>
      </c>
      <c r="B130" s="18" t="s">
        <v>16</v>
      </c>
      <c r="C130" s="18" t="s">
        <v>17</v>
      </c>
      <c r="D130" s="18" t="s">
        <v>18</v>
      </c>
      <c r="E130" s="18" t="s">
        <v>19</v>
      </c>
      <c r="F130" s="19" t="s">
        <v>215</v>
      </c>
      <c r="G130" s="20">
        <v>45386</v>
      </c>
      <c r="H130" s="20">
        <v>45386</v>
      </c>
      <c r="I130" s="20">
        <v>45386</v>
      </c>
      <c r="J130" s="21">
        <v>1</v>
      </c>
      <c r="K130" s="18" t="s">
        <v>21</v>
      </c>
      <c r="L130" s="22">
        <v>320129</v>
      </c>
      <c r="M130" s="23">
        <v>-15087.5</v>
      </c>
      <c r="N130" s="23">
        <v>305041.5</v>
      </c>
      <c r="O130" s="18" t="s">
        <v>22</v>
      </c>
    </row>
    <row r="131" spans="1:15" s="4" customFormat="1" ht="19.25" customHeight="1" x14ac:dyDescent="0.45">
      <c r="A131" s="18" t="s">
        <v>218</v>
      </c>
      <c r="B131" s="18" t="s">
        <v>16</v>
      </c>
      <c r="C131" s="18" t="s">
        <v>17</v>
      </c>
      <c r="D131" s="18" t="s">
        <v>18</v>
      </c>
      <c r="E131" s="18" t="s">
        <v>19</v>
      </c>
      <c r="F131" s="19" t="s">
        <v>215</v>
      </c>
      <c r="G131" s="20">
        <v>45386</v>
      </c>
      <c r="H131" s="20">
        <v>45386</v>
      </c>
      <c r="I131" s="20">
        <v>45386</v>
      </c>
      <c r="J131" s="21">
        <v>1</v>
      </c>
      <c r="K131" s="18" t="s">
        <v>21</v>
      </c>
      <c r="L131" s="22">
        <v>320129</v>
      </c>
      <c r="M131" s="23">
        <v>-15087.5</v>
      </c>
      <c r="N131" s="23">
        <v>305041.5</v>
      </c>
      <c r="O131" s="18" t="s">
        <v>22</v>
      </c>
    </row>
    <row r="132" spans="1:15" s="4" customFormat="1" ht="19.25" customHeight="1" x14ac:dyDescent="0.45">
      <c r="A132" s="18" t="s">
        <v>219</v>
      </c>
      <c r="B132" s="18" t="s">
        <v>160</v>
      </c>
      <c r="C132" s="18" t="s">
        <v>161</v>
      </c>
      <c r="D132" s="18" t="s">
        <v>162</v>
      </c>
      <c r="E132" s="18" t="s">
        <v>163</v>
      </c>
      <c r="F132" s="19" t="s">
        <v>220</v>
      </c>
      <c r="G132" s="20">
        <v>45386</v>
      </c>
      <c r="H132" s="20">
        <v>45386</v>
      </c>
      <c r="I132" s="20">
        <v>45386</v>
      </c>
      <c r="J132" s="21">
        <v>1</v>
      </c>
      <c r="K132" s="18" t="s">
        <v>90</v>
      </c>
      <c r="L132" s="22">
        <v>6813000</v>
      </c>
      <c r="M132" s="23">
        <v>-384946.45</v>
      </c>
      <c r="N132" s="23">
        <v>6428053.5499999998</v>
      </c>
      <c r="O132" s="18" t="s">
        <v>22</v>
      </c>
    </row>
    <row r="133" spans="1:15" s="4" customFormat="1" ht="19.25" customHeight="1" x14ac:dyDescent="0.45">
      <c r="A133" s="18" t="s">
        <v>221</v>
      </c>
      <c r="B133" s="18" t="s">
        <v>160</v>
      </c>
      <c r="C133" s="18" t="s">
        <v>161</v>
      </c>
      <c r="D133" s="18" t="s">
        <v>162</v>
      </c>
      <c r="E133" s="18" t="s">
        <v>163</v>
      </c>
      <c r="F133" s="19" t="s">
        <v>220</v>
      </c>
      <c r="G133" s="20">
        <v>45386</v>
      </c>
      <c r="H133" s="20">
        <v>45386</v>
      </c>
      <c r="I133" s="20">
        <v>45386</v>
      </c>
      <c r="J133" s="21">
        <v>1</v>
      </c>
      <c r="K133" s="18" t="s">
        <v>90</v>
      </c>
      <c r="L133" s="22">
        <v>6813000</v>
      </c>
      <c r="M133" s="23">
        <v>-384946.45</v>
      </c>
      <c r="N133" s="23">
        <v>6428053.5499999998</v>
      </c>
      <c r="O133" s="18" t="s">
        <v>22</v>
      </c>
    </row>
    <row r="134" spans="1:15" s="4" customFormat="1" ht="19.25" customHeight="1" x14ac:dyDescent="0.45">
      <c r="A134" s="18" t="s">
        <v>222</v>
      </c>
      <c r="B134" s="18" t="s">
        <v>160</v>
      </c>
      <c r="C134" s="18" t="s">
        <v>161</v>
      </c>
      <c r="D134" s="18" t="s">
        <v>162</v>
      </c>
      <c r="E134" s="18" t="s">
        <v>163</v>
      </c>
      <c r="F134" s="19" t="s">
        <v>220</v>
      </c>
      <c r="G134" s="20">
        <v>45386</v>
      </c>
      <c r="H134" s="20">
        <v>45386</v>
      </c>
      <c r="I134" s="20">
        <v>45386</v>
      </c>
      <c r="J134" s="21">
        <v>1</v>
      </c>
      <c r="K134" s="18" t="s">
        <v>90</v>
      </c>
      <c r="L134" s="22">
        <v>6813000</v>
      </c>
      <c r="M134" s="23">
        <v>-384946.45</v>
      </c>
      <c r="N134" s="23">
        <v>6428053.5499999998</v>
      </c>
      <c r="O134" s="18" t="s">
        <v>22</v>
      </c>
    </row>
    <row r="135" spans="1:15" s="4" customFormat="1" ht="19.25" customHeight="1" x14ac:dyDescent="0.45">
      <c r="A135" s="18" t="s">
        <v>223</v>
      </c>
      <c r="B135" s="18" t="s">
        <v>78</v>
      </c>
      <c r="C135" s="18" t="s">
        <v>79</v>
      </c>
      <c r="D135" s="18" t="s">
        <v>80</v>
      </c>
      <c r="E135" s="18" t="s">
        <v>81</v>
      </c>
      <c r="F135" s="19" t="s">
        <v>224</v>
      </c>
      <c r="G135" s="20">
        <v>45386</v>
      </c>
      <c r="H135" s="20">
        <v>45386</v>
      </c>
      <c r="I135" s="20">
        <v>45386</v>
      </c>
      <c r="J135" s="21">
        <v>3</v>
      </c>
      <c r="K135" s="18" t="s">
        <v>21</v>
      </c>
      <c r="L135" s="22">
        <v>29700</v>
      </c>
      <c r="M135" s="23">
        <v>-1399.74</v>
      </c>
      <c r="N135" s="23">
        <v>28300.26</v>
      </c>
      <c r="O135" s="18" t="s">
        <v>22</v>
      </c>
    </row>
    <row r="136" spans="1:15" s="4" customFormat="1" ht="19.25" customHeight="1" x14ac:dyDescent="0.45">
      <c r="A136" s="18" t="s">
        <v>225</v>
      </c>
      <c r="B136" s="18" t="s">
        <v>78</v>
      </c>
      <c r="C136" s="18" t="s">
        <v>79</v>
      </c>
      <c r="D136" s="18" t="s">
        <v>80</v>
      </c>
      <c r="E136" s="18" t="s">
        <v>81</v>
      </c>
      <c r="F136" s="19" t="s">
        <v>226</v>
      </c>
      <c r="G136" s="20">
        <v>45386</v>
      </c>
      <c r="H136" s="20">
        <v>45386</v>
      </c>
      <c r="I136" s="20">
        <v>45386</v>
      </c>
      <c r="J136" s="21">
        <v>1525</v>
      </c>
      <c r="K136" s="18" t="s">
        <v>227</v>
      </c>
      <c r="L136" s="22">
        <v>47274.58</v>
      </c>
      <c r="M136" s="23">
        <v>-2228.02</v>
      </c>
      <c r="N136" s="23">
        <v>45046.559999999998</v>
      </c>
      <c r="O136" s="18" t="s">
        <v>22</v>
      </c>
    </row>
    <row r="137" spans="1:15" s="4" customFormat="1" ht="19.25" customHeight="1" x14ac:dyDescent="0.45">
      <c r="A137" s="18" t="s">
        <v>228</v>
      </c>
      <c r="B137" s="18" t="s">
        <v>78</v>
      </c>
      <c r="C137" s="18" t="s">
        <v>79</v>
      </c>
      <c r="D137" s="18" t="s">
        <v>80</v>
      </c>
      <c r="E137" s="18" t="s">
        <v>81</v>
      </c>
      <c r="F137" s="19" t="s">
        <v>229</v>
      </c>
      <c r="G137" s="20">
        <v>45386</v>
      </c>
      <c r="H137" s="20">
        <v>45386</v>
      </c>
      <c r="I137" s="20">
        <v>45386</v>
      </c>
      <c r="J137" s="21">
        <v>28</v>
      </c>
      <c r="K137" s="18" t="s">
        <v>21</v>
      </c>
      <c r="L137" s="22">
        <v>261799.9</v>
      </c>
      <c r="M137" s="23">
        <v>-12338.48</v>
      </c>
      <c r="N137" s="23">
        <v>249461.42</v>
      </c>
      <c r="O137" s="18" t="s">
        <v>22</v>
      </c>
    </row>
    <row r="138" spans="1:15" s="4" customFormat="1" ht="19.25" customHeight="1" x14ac:dyDescent="0.45">
      <c r="A138" s="18" t="s">
        <v>230</v>
      </c>
      <c r="B138" s="18" t="s">
        <v>78</v>
      </c>
      <c r="C138" s="18" t="s">
        <v>79</v>
      </c>
      <c r="D138" s="18" t="s">
        <v>80</v>
      </c>
      <c r="E138" s="18" t="s">
        <v>81</v>
      </c>
      <c r="F138" s="19" t="s">
        <v>231</v>
      </c>
      <c r="G138" s="20">
        <v>45386</v>
      </c>
      <c r="H138" s="20">
        <v>45386</v>
      </c>
      <c r="I138" s="20">
        <v>45386</v>
      </c>
      <c r="J138" s="21">
        <v>8</v>
      </c>
      <c r="K138" s="18" t="s">
        <v>21</v>
      </c>
      <c r="L138" s="22">
        <v>264000</v>
      </c>
      <c r="M138" s="23">
        <v>-12442.17</v>
      </c>
      <c r="N138" s="23">
        <v>251557.83</v>
      </c>
      <c r="O138" s="18" t="s">
        <v>22</v>
      </c>
    </row>
    <row r="139" spans="1:15" s="4" customFormat="1" ht="19.25" customHeight="1" x14ac:dyDescent="0.45">
      <c r="A139" s="18" t="s">
        <v>232</v>
      </c>
      <c r="B139" s="18" t="s">
        <v>78</v>
      </c>
      <c r="C139" s="18" t="s">
        <v>79</v>
      </c>
      <c r="D139" s="18" t="s">
        <v>80</v>
      </c>
      <c r="E139" s="18" t="s">
        <v>81</v>
      </c>
      <c r="F139" s="19" t="s">
        <v>233</v>
      </c>
      <c r="G139" s="20">
        <v>45386</v>
      </c>
      <c r="H139" s="20">
        <v>45386</v>
      </c>
      <c r="I139" s="20">
        <v>45386</v>
      </c>
      <c r="J139" s="21">
        <v>2</v>
      </c>
      <c r="K139" s="18" t="s">
        <v>21</v>
      </c>
      <c r="L139" s="22">
        <v>775010</v>
      </c>
      <c r="M139" s="23">
        <v>-36525.78</v>
      </c>
      <c r="N139" s="23">
        <v>738484.22</v>
      </c>
      <c r="O139" s="18" t="s">
        <v>22</v>
      </c>
    </row>
    <row r="140" spans="1:15" s="4" customFormat="1" ht="19.25" customHeight="1" x14ac:dyDescent="0.45">
      <c r="A140" s="18" t="s">
        <v>234</v>
      </c>
      <c r="B140" s="18" t="s">
        <v>78</v>
      </c>
      <c r="C140" s="18" t="s">
        <v>79</v>
      </c>
      <c r="D140" s="18" t="s">
        <v>80</v>
      </c>
      <c r="E140" s="18" t="s">
        <v>81</v>
      </c>
      <c r="F140" s="19" t="s">
        <v>235</v>
      </c>
      <c r="G140" s="20">
        <v>45386</v>
      </c>
      <c r="H140" s="20">
        <v>45386</v>
      </c>
      <c r="I140" s="20">
        <v>45386</v>
      </c>
      <c r="J140" s="21">
        <v>2</v>
      </c>
      <c r="K140" s="18" t="s">
        <v>21</v>
      </c>
      <c r="L140" s="22">
        <v>10956</v>
      </c>
      <c r="M140" s="23">
        <v>-516.35</v>
      </c>
      <c r="N140" s="23">
        <v>10439.65</v>
      </c>
      <c r="O140" s="18" t="s">
        <v>22</v>
      </c>
    </row>
    <row r="141" spans="1:15" s="4" customFormat="1" ht="28.5" customHeight="1" x14ac:dyDescent="0.45">
      <c r="A141" s="18" t="s">
        <v>236</v>
      </c>
      <c r="B141" s="18" t="s">
        <v>78</v>
      </c>
      <c r="C141" s="18" t="s">
        <v>79</v>
      </c>
      <c r="D141" s="18" t="s">
        <v>80</v>
      </c>
      <c r="E141" s="18" t="s">
        <v>81</v>
      </c>
      <c r="F141" s="19" t="s">
        <v>237</v>
      </c>
      <c r="G141" s="20">
        <v>45386</v>
      </c>
      <c r="H141" s="20">
        <v>45386</v>
      </c>
      <c r="I141" s="20">
        <v>45386</v>
      </c>
      <c r="J141" s="21">
        <v>82</v>
      </c>
      <c r="K141" s="18" t="s">
        <v>21</v>
      </c>
      <c r="L141" s="22">
        <v>16236</v>
      </c>
      <c r="M141" s="23">
        <v>-765.19</v>
      </c>
      <c r="N141" s="23">
        <v>15470.81</v>
      </c>
      <c r="O141" s="19" t="s">
        <v>22</v>
      </c>
    </row>
    <row r="142" spans="1:15" s="4" customFormat="1" ht="19.25" customHeight="1" x14ac:dyDescent="0.45">
      <c r="A142" s="18" t="s">
        <v>238</v>
      </c>
      <c r="B142" s="18" t="s">
        <v>78</v>
      </c>
      <c r="C142" s="18" t="s">
        <v>79</v>
      </c>
      <c r="D142" s="18" t="s">
        <v>80</v>
      </c>
      <c r="E142" s="18" t="s">
        <v>81</v>
      </c>
      <c r="F142" s="19" t="s">
        <v>239</v>
      </c>
      <c r="G142" s="20">
        <v>45386</v>
      </c>
      <c r="H142" s="20">
        <v>45386</v>
      </c>
      <c r="I142" s="20">
        <v>45386</v>
      </c>
      <c r="J142" s="21">
        <v>1</v>
      </c>
      <c r="K142" s="18" t="s">
        <v>21</v>
      </c>
      <c r="L142" s="22">
        <v>9900</v>
      </c>
      <c r="M142" s="23">
        <v>-466.58</v>
      </c>
      <c r="N142" s="23">
        <v>9433.42</v>
      </c>
      <c r="O142" s="18" t="s">
        <v>22</v>
      </c>
    </row>
    <row r="143" spans="1:15" s="4" customFormat="1" ht="19.25" customHeight="1" x14ac:dyDescent="0.45">
      <c r="A143" s="18" t="s">
        <v>240</v>
      </c>
      <c r="B143" s="18" t="s">
        <v>78</v>
      </c>
      <c r="C143" s="18" t="s">
        <v>79</v>
      </c>
      <c r="D143" s="18" t="s">
        <v>80</v>
      </c>
      <c r="E143" s="18" t="s">
        <v>81</v>
      </c>
      <c r="F143" s="19" t="s">
        <v>241</v>
      </c>
      <c r="G143" s="20">
        <v>45386</v>
      </c>
      <c r="H143" s="20">
        <v>45386</v>
      </c>
      <c r="I143" s="20">
        <v>45386</v>
      </c>
      <c r="J143" s="21">
        <v>40</v>
      </c>
      <c r="K143" s="18" t="s">
        <v>21</v>
      </c>
      <c r="L143" s="22">
        <v>18480</v>
      </c>
      <c r="M143" s="23">
        <v>-870.95</v>
      </c>
      <c r="N143" s="23">
        <v>17609.05</v>
      </c>
      <c r="O143" s="18" t="s">
        <v>22</v>
      </c>
    </row>
    <row r="144" spans="1:15" s="4" customFormat="1" ht="19.25" customHeight="1" x14ac:dyDescent="0.45">
      <c r="A144" s="18" t="s">
        <v>242</v>
      </c>
      <c r="B144" s="18" t="s">
        <v>78</v>
      </c>
      <c r="C144" s="18" t="s">
        <v>79</v>
      </c>
      <c r="D144" s="18" t="s">
        <v>80</v>
      </c>
      <c r="E144" s="18" t="s">
        <v>81</v>
      </c>
      <c r="F144" s="19" t="s">
        <v>243</v>
      </c>
      <c r="G144" s="20">
        <v>45386</v>
      </c>
      <c r="H144" s="20">
        <v>45386</v>
      </c>
      <c r="I144" s="20">
        <v>45386</v>
      </c>
      <c r="J144" s="21">
        <v>10</v>
      </c>
      <c r="K144" s="18" t="s">
        <v>21</v>
      </c>
      <c r="L144" s="22">
        <v>10430</v>
      </c>
      <c r="M144" s="23">
        <v>-491.56</v>
      </c>
      <c r="N144" s="23">
        <v>9938.44</v>
      </c>
      <c r="O144" s="19" t="s">
        <v>22</v>
      </c>
    </row>
    <row r="145" spans="1:15" s="4" customFormat="1" ht="19.25" customHeight="1" x14ac:dyDescent="0.45">
      <c r="A145" s="18" t="s">
        <v>244</v>
      </c>
      <c r="B145" s="18" t="s">
        <v>78</v>
      </c>
      <c r="C145" s="18" t="s">
        <v>79</v>
      </c>
      <c r="D145" s="18" t="s">
        <v>80</v>
      </c>
      <c r="E145" s="18" t="s">
        <v>81</v>
      </c>
      <c r="F145" s="19" t="s">
        <v>245</v>
      </c>
      <c r="G145" s="20">
        <v>45386</v>
      </c>
      <c r="H145" s="20">
        <v>45386</v>
      </c>
      <c r="I145" s="20">
        <v>45386</v>
      </c>
      <c r="J145" s="21">
        <v>1</v>
      </c>
      <c r="K145" s="18" t="s">
        <v>21</v>
      </c>
      <c r="L145" s="22">
        <v>22138</v>
      </c>
      <c r="M145" s="23">
        <v>-1043.3499999999999</v>
      </c>
      <c r="N145" s="23">
        <v>21094.65</v>
      </c>
      <c r="O145" s="18" t="s">
        <v>22</v>
      </c>
    </row>
    <row r="146" spans="1:15" s="4" customFormat="1" ht="19.25" customHeight="1" x14ac:dyDescent="0.45">
      <c r="A146" s="18" t="s">
        <v>246</v>
      </c>
      <c r="B146" s="18" t="s">
        <v>78</v>
      </c>
      <c r="C146" s="18" t="s">
        <v>79</v>
      </c>
      <c r="D146" s="18" t="s">
        <v>80</v>
      </c>
      <c r="E146" s="18" t="s">
        <v>81</v>
      </c>
      <c r="F146" s="19" t="s">
        <v>247</v>
      </c>
      <c r="G146" s="20">
        <v>45386</v>
      </c>
      <c r="H146" s="20">
        <v>45386</v>
      </c>
      <c r="I146" s="20">
        <v>45386</v>
      </c>
      <c r="J146" s="21">
        <v>610</v>
      </c>
      <c r="K146" s="18" t="s">
        <v>227</v>
      </c>
      <c r="L146" s="22">
        <v>18910</v>
      </c>
      <c r="M146" s="23">
        <v>-891.22</v>
      </c>
      <c r="N146" s="23">
        <v>18018.78</v>
      </c>
      <c r="O146" s="18" t="s">
        <v>22</v>
      </c>
    </row>
    <row r="147" spans="1:15" s="4" customFormat="1" ht="19.25" customHeight="1" x14ac:dyDescent="0.45">
      <c r="A147" s="18" t="s">
        <v>248</v>
      </c>
      <c r="B147" s="18" t="s">
        <v>78</v>
      </c>
      <c r="C147" s="18" t="s">
        <v>79</v>
      </c>
      <c r="D147" s="18" t="s">
        <v>80</v>
      </c>
      <c r="E147" s="18" t="s">
        <v>81</v>
      </c>
      <c r="F147" s="19" t="s">
        <v>249</v>
      </c>
      <c r="G147" s="20">
        <v>45386</v>
      </c>
      <c r="H147" s="20">
        <v>45386</v>
      </c>
      <c r="I147" s="20">
        <v>45386</v>
      </c>
      <c r="J147" s="21">
        <v>80</v>
      </c>
      <c r="K147" s="18" t="s">
        <v>21</v>
      </c>
      <c r="L147" s="22">
        <v>48080</v>
      </c>
      <c r="M147" s="23">
        <v>-2265.98</v>
      </c>
      <c r="N147" s="23">
        <v>45814.02</v>
      </c>
      <c r="O147" s="19" t="s">
        <v>22</v>
      </c>
    </row>
    <row r="148" spans="1:15" s="4" customFormat="1" ht="19.25" customHeight="1" x14ac:dyDescent="0.45">
      <c r="A148" s="18" t="s">
        <v>250</v>
      </c>
      <c r="B148" s="18" t="s">
        <v>78</v>
      </c>
      <c r="C148" s="18" t="s">
        <v>79</v>
      </c>
      <c r="D148" s="18" t="s">
        <v>80</v>
      </c>
      <c r="E148" s="18" t="s">
        <v>81</v>
      </c>
      <c r="F148" s="19" t="s">
        <v>251</v>
      </c>
      <c r="G148" s="20">
        <v>45386</v>
      </c>
      <c r="H148" s="20">
        <v>45386</v>
      </c>
      <c r="I148" s="20">
        <v>45386</v>
      </c>
      <c r="J148" s="21">
        <v>800</v>
      </c>
      <c r="K148" s="18" t="s">
        <v>227</v>
      </c>
      <c r="L148" s="22">
        <v>72240</v>
      </c>
      <c r="M148" s="23">
        <v>-3404.63</v>
      </c>
      <c r="N148" s="23">
        <v>68835.37</v>
      </c>
      <c r="O148" s="19" t="s">
        <v>22</v>
      </c>
    </row>
    <row r="149" spans="1:15" s="4" customFormat="1" ht="19.25" customHeight="1" x14ac:dyDescent="0.45">
      <c r="A149" s="18" t="s">
        <v>252</v>
      </c>
      <c r="B149" s="18" t="s">
        <v>78</v>
      </c>
      <c r="C149" s="18" t="s">
        <v>79</v>
      </c>
      <c r="D149" s="18" t="s">
        <v>80</v>
      </c>
      <c r="E149" s="18" t="s">
        <v>81</v>
      </c>
      <c r="F149" s="19" t="s">
        <v>253</v>
      </c>
      <c r="G149" s="20">
        <v>45386</v>
      </c>
      <c r="H149" s="20">
        <v>45386</v>
      </c>
      <c r="I149" s="20">
        <v>45386</v>
      </c>
      <c r="J149" s="21">
        <v>10</v>
      </c>
      <c r="K149" s="18" t="s">
        <v>21</v>
      </c>
      <c r="L149" s="22">
        <v>107000</v>
      </c>
      <c r="M149" s="23">
        <v>-5042.8500000000004</v>
      </c>
      <c r="N149" s="23">
        <v>101957.15</v>
      </c>
      <c r="O149" s="18" t="s">
        <v>22</v>
      </c>
    </row>
    <row r="150" spans="1:15" s="4" customFormat="1" ht="19.25" customHeight="1" x14ac:dyDescent="0.45">
      <c r="A150" s="18" t="s">
        <v>254</v>
      </c>
      <c r="B150" s="18" t="s">
        <v>78</v>
      </c>
      <c r="C150" s="18" t="s">
        <v>79</v>
      </c>
      <c r="D150" s="18" t="s">
        <v>80</v>
      </c>
      <c r="E150" s="18" t="s">
        <v>81</v>
      </c>
      <c r="F150" s="19" t="s">
        <v>255</v>
      </c>
      <c r="G150" s="20">
        <v>45386</v>
      </c>
      <c r="H150" s="20">
        <v>45386</v>
      </c>
      <c r="I150" s="20">
        <v>45386</v>
      </c>
      <c r="J150" s="21">
        <v>8</v>
      </c>
      <c r="K150" s="18" t="s">
        <v>21</v>
      </c>
      <c r="L150" s="22">
        <v>117600</v>
      </c>
      <c r="M150" s="23">
        <v>-5542.42</v>
      </c>
      <c r="N150" s="23">
        <v>112057.58</v>
      </c>
      <c r="O150" s="19" t="s">
        <v>22</v>
      </c>
    </row>
    <row r="151" spans="1:15" s="4" customFormat="1" ht="19.25" customHeight="1" x14ac:dyDescent="0.45">
      <c r="A151" s="18" t="s">
        <v>256</v>
      </c>
      <c r="B151" s="18" t="s">
        <v>78</v>
      </c>
      <c r="C151" s="18" t="s">
        <v>79</v>
      </c>
      <c r="D151" s="18" t="s">
        <v>80</v>
      </c>
      <c r="E151" s="18" t="s">
        <v>81</v>
      </c>
      <c r="F151" s="19" t="s">
        <v>257</v>
      </c>
      <c r="G151" s="20">
        <v>45386</v>
      </c>
      <c r="H151" s="20">
        <v>45386</v>
      </c>
      <c r="I151" s="20">
        <v>45386</v>
      </c>
      <c r="J151" s="21">
        <v>1</v>
      </c>
      <c r="K151" s="18" t="s">
        <v>21</v>
      </c>
      <c r="L151" s="22">
        <v>3900</v>
      </c>
      <c r="M151" s="23">
        <v>-183.8</v>
      </c>
      <c r="N151" s="23">
        <v>3716.2</v>
      </c>
      <c r="O151" s="18" t="s">
        <v>22</v>
      </c>
    </row>
    <row r="152" spans="1:15" s="4" customFormat="1" ht="19.25" customHeight="1" x14ac:dyDescent="0.45">
      <c r="A152" s="18" t="s">
        <v>258</v>
      </c>
      <c r="B152" s="18" t="s">
        <v>78</v>
      </c>
      <c r="C152" s="18" t="s">
        <v>79</v>
      </c>
      <c r="D152" s="18" t="s">
        <v>80</v>
      </c>
      <c r="E152" s="18" t="s">
        <v>81</v>
      </c>
      <c r="F152" s="19" t="s">
        <v>259</v>
      </c>
      <c r="G152" s="20">
        <v>45386</v>
      </c>
      <c r="H152" s="20">
        <v>45386</v>
      </c>
      <c r="I152" s="20">
        <v>45386</v>
      </c>
      <c r="J152" s="21">
        <v>10</v>
      </c>
      <c r="K152" s="18" t="s">
        <v>21</v>
      </c>
      <c r="L152" s="22">
        <v>10150</v>
      </c>
      <c r="M152" s="23">
        <v>-478.36</v>
      </c>
      <c r="N152" s="23">
        <v>9671.64</v>
      </c>
      <c r="O152" s="19" t="s">
        <v>22</v>
      </c>
    </row>
    <row r="153" spans="1:15" s="4" customFormat="1" ht="19.25" customHeight="1" x14ac:dyDescent="0.45">
      <c r="A153" s="18" t="s">
        <v>260</v>
      </c>
      <c r="B153" s="18" t="s">
        <v>78</v>
      </c>
      <c r="C153" s="18" t="s">
        <v>79</v>
      </c>
      <c r="D153" s="18" t="s">
        <v>80</v>
      </c>
      <c r="E153" s="18" t="s">
        <v>81</v>
      </c>
      <c r="F153" s="19" t="s">
        <v>261</v>
      </c>
      <c r="G153" s="20">
        <v>45386</v>
      </c>
      <c r="H153" s="20">
        <v>45386</v>
      </c>
      <c r="I153" s="20">
        <v>45386</v>
      </c>
      <c r="J153" s="21">
        <v>1</v>
      </c>
      <c r="K153" s="18" t="s">
        <v>21</v>
      </c>
      <c r="L153" s="22">
        <v>146400</v>
      </c>
      <c r="M153" s="23">
        <v>-6899.75</v>
      </c>
      <c r="N153" s="23">
        <v>139500.25</v>
      </c>
      <c r="O153" s="18" t="s">
        <v>22</v>
      </c>
    </row>
    <row r="154" spans="1:15" s="4" customFormat="1" ht="19.25" customHeight="1" x14ac:dyDescent="0.45">
      <c r="A154" s="18" t="s">
        <v>262</v>
      </c>
      <c r="B154" s="18" t="s">
        <v>78</v>
      </c>
      <c r="C154" s="18" t="s">
        <v>79</v>
      </c>
      <c r="D154" s="18" t="s">
        <v>80</v>
      </c>
      <c r="E154" s="18" t="s">
        <v>81</v>
      </c>
      <c r="F154" s="19" t="s">
        <v>263</v>
      </c>
      <c r="G154" s="20">
        <v>45386</v>
      </c>
      <c r="H154" s="20">
        <v>45386</v>
      </c>
      <c r="I154" s="20">
        <v>45386</v>
      </c>
      <c r="J154" s="21">
        <v>1</v>
      </c>
      <c r="K154" s="18" t="s">
        <v>21</v>
      </c>
      <c r="L154" s="22">
        <v>345000</v>
      </c>
      <c r="M154" s="23">
        <v>-16259.65</v>
      </c>
      <c r="N154" s="23">
        <v>328740.34999999998</v>
      </c>
      <c r="O154" s="19" t="s">
        <v>22</v>
      </c>
    </row>
    <row r="155" spans="1:15" s="4" customFormat="1" ht="19.25" customHeight="1" x14ac:dyDescent="0.45">
      <c r="A155" s="18" t="s">
        <v>264</v>
      </c>
      <c r="B155" s="18" t="s">
        <v>78</v>
      </c>
      <c r="C155" s="18" t="s">
        <v>79</v>
      </c>
      <c r="D155" s="18" t="s">
        <v>80</v>
      </c>
      <c r="E155" s="18" t="s">
        <v>81</v>
      </c>
      <c r="F155" s="19" t="s">
        <v>265</v>
      </c>
      <c r="G155" s="20">
        <v>45386</v>
      </c>
      <c r="H155" s="20">
        <v>45386</v>
      </c>
      <c r="I155" s="20">
        <v>45386</v>
      </c>
      <c r="J155" s="21">
        <v>400</v>
      </c>
      <c r="K155" s="18" t="s">
        <v>227</v>
      </c>
      <c r="L155" s="22">
        <v>51600</v>
      </c>
      <c r="M155" s="23">
        <v>-2431.88</v>
      </c>
      <c r="N155" s="23">
        <v>49168.12</v>
      </c>
      <c r="O155" s="19" t="s">
        <v>22</v>
      </c>
    </row>
    <row r="156" spans="1:15" s="4" customFormat="1" ht="19.25" customHeight="1" x14ac:dyDescent="0.45">
      <c r="A156" s="18" t="s">
        <v>266</v>
      </c>
      <c r="B156" s="18" t="s">
        <v>78</v>
      </c>
      <c r="C156" s="18" t="s">
        <v>79</v>
      </c>
      <c r="D156" s="18" t="s">
        <v>80</v>
      </c>
      <c r="E156" s="18" t="s">
        <v>81</v>
      </c>
      <c r="F156" s="19" t="s">
        <v>265</v>
      </c>
      <c r="G156" s="20">
        <v>45386</v>
      </c>
      <c r="H156" s="20">
        <v>45386</v>
      </c>
      <c r="I156" s="20">
        <v>45386</v>
      </c>
      <c r="J156" s="21">
        <v>700</v>
      </c>
      <c r="K156" s="18" t="s">
        <v>227</v>
      </c>
      <c r="L156" s="22">
        <v>49700</v>
      </c>
      <c r="M156" s="23">
        <v>-2342.33</v>
      </c>
      <c r="N156" s="23">
        <v>47357.67</v>
      </c>
      <c r="O156" s="19" t="s">
        <v>22</v>
      </c>
    </row>
    <row r="157" spans="1:15" s="4" customFormat="1" ht="19.25" customHeight="1" x14ac:dyDescent="0.45">
      <c r="A157" s="18" t="s">
        <v>267</v>
      </c>
      <c r="B157" s="18" t="s">
        <v>78</v>
      </c>
      <c r="C157" s="18" t="s">
        <v>79</v>
      </c>
      <c r="D157" s="18" t="s">
        <v>80</v>
      </c>
      <c r="E157" s="18" t="s">
        <v>81</v>
      </c>
      <c r="F157" s="19" t="s">
        <v>249</v>
      </c>
      <c r="G157" s="20">
        <v>45386</v>
      </c>
      <c r="H157" s="20">
        <v>45386</v>
      </c>
      <c r="I157" s="20">
        <v>45386</v>
      </c>
      <c r="J157" s="21">
        <v>4</v>
      </c>
      <c r="K157" s="18" t="s">
        <v>21</v>
      </c>
      <c r="L157" s="22">
        <v>2404</v>
      </c>
      <c r="M157" s="23">
        <v>-113.3</v>
      </c>
      <c r="N157" s="23">
        <v>2290.6999999999998</v>
      </c>
      <c r="O157" s="19" t="s">
        <v>22</v>
      </c>
    </row>
    <row r="158" spans="1:15" s="4" customFormat="1" ht="19.25" customHeight="1" x14ac:dyDescent="0.45">
      <c r="A158" s="18" t="s">
        <v>268</v>
      </c>
      <c r="B158" s="18" t="s">
        <v>96</v>
      </c>
      <c r="C158" s="18" t="s">
        <v>97</v>
      </c>
      <c r="D158" s="18" t="s">
        <v>98</v>
      </c>
      <c r="E158" s="18" t="s">
        <v>99</v>
      </c>
      <c r="F158" s="19" t="s">
        <v>269</v>
      </c>
      <c r="G158" s="20">
        <v>45386</v>
      </c>
      <c r="H158" s="20">
        <v>45386</v>
      </c>
      <c r="I158" s="20">
        <v>45386</v>
      </c>
      <c r="J158" s="21">
        <v>1</v>
      </c>
      <c r="K158" s="18" t="s">
        <v>21</v>
      </c>
      <c r="L158" s="22">
        <v>800886.44</v>
      </c>
      <c r="M158" s="23">
        <v>-37745.32</v>
      </c>
      <c r="N158" s="23">
        <v>763141.12</v>
      </c>
      <c r="O158" s="18" t="s">
        <v>22</v>
      </c>
    </row>
    <row r="159" spans="1:15" s="4" customFormat="1" ht="19.25" customHeight="1" x14ac:dyDescent="0.45">
      <c r="A159" s="18" t="s">
        <v>270</v>
      </c>
      <c r="B159" s="18" t="s">
        <v>197</v>
      </c>
      <c r="C159" s="18" t="s">
        <v>198</v>
      </c>
      <c r="D159" s="18" t="s">
        <v>199</v>
      </c>
      <c r="E159" s="18" t="s">
        <v>200</v>
      </c>
      <c r="F159" s="19" t="s">
        <v>271</v>
      </c>
      <c r="G159" s="20">
        <v>45386</v>
      </c>
      <c r="H159" s="20">
        <v>45386</v>
      </c>
      <c r="I159" s="20">
        <v>45386</v>
      </c>
      <c r="J159" s="21">
        <v>1.5</v>
      </c>
      <c r="K159" s="18" t="s">
        <v>90</v>
      </c>
      <c r="L159" s="22">
        <v>977454</v>
      </c>
      <c r="M159" s="23">
        <v>-46066.84</v>
      </c>
      <c r="N159" s="23">
        <v>931387.16</v>
      </c>
      <c r="O159" s="18" t="s">
        <v>22</v>
      </c>
    </row>
    <row r="160" spans="1:15" s="4" customFormat="1" ht="19.25" customHeight="1" x14ac:dyDescent="0.45">
      <c r="A160" s="18" t="s">
        <v>272</v>
      </c>
      <c r="B160" s="18" t="s">
        <v>197</v>
      </c>
      <c r="C160" s="18" t="s">
        <v>198</v>
      </c>
      <c r="D160" s="18" t="s">
        <v>199</v>
      </c>
      <c r="E160" s="18" t="s">
        <v>200</v>
      </c>
      <c r="F160" s="19" t="s">
        <v>271</v>
      </c>
      <c r="G160" s="20">
        <v>45386</v>
      </c>
      <c r="H160" s="20">
        <v>45386</v>
      </c>
      <c r="I160" s="20">
        <v>45386</v>
      </c>
      <c r="J160" s="21">
        <v>2</v>
      </c>
      <c r="K160" s="18" t="s">
        <v>90</v>
      </c>
      <c r="L160" s="22">
        <v>73310</v>
      </c>
      <c r="M160" s="23">
        <v>-3455.06</v>
      </c>
      <c r="N160" s="23">
        <v>69854.94</v>
      </c>
      <c r="O160" s="18" t="s">
        <v>22</v>
      </c>
    </row>
    <row r="161" spans="1:15" s="4" customFormat="1" ht="19.25" customHeight="1" x14ac:dyDescent="0.45">
      <c r="A161" s="18" t="s">
        <v>273</v>
      </c>
      <c r="B161" s="18" t="s">
        <v>197</v>
      </c>
      <c r="C161" s="18" t="s">
        <v>198</v>
      </c>
      <c r="D161" s="18" t="s">
        <v>199</v>
      </c>
      <c r="E161" s="18" t="s">
        <v>200</v>
      </c>
      <c r="F161" s="19" t="s">
        <v>271</v>
      </c>
      <c r="G161" s="20">
        <v>45386</v>
      </c>
      <c r="H161" s="20">
        <v>45386</v>
      </c>
      <c r="I161" s="20">
        <v>45386</v>
      </c>
      <c r="J161" s="21">
        <v>12</v>
      </c>
      <c r="K161" s="18" t="s">
        <v>90</v>
      </c>
      <c r="L161" s="22">
        <v>695064</v>
      </c>
      <c r="M161" s="23">
        <v>-32757.97</v>
      </c>
      <c r="N161" s="23">
        <v>662306.03</v>
      </c>
      <c r="O161" s="18" t="s">
        <v>22</v>
      </c>
    </row>
    <row r="162" spans="1:15" s="4" customFormat="1" ht="19.25" customHeight="1" x14ac:dyDescent="0.45">
      <c r="A162" s="18" t="s">
        <v>274</v>
      </c>
      <c r="B162" s="18" t="s">
        <v>197</v>
      </c>
      <c r="C162" s="18" t="s">
        <v>198</v>
      </c>
      <c r="D162" s="18" t="s">
        <v>199</v>
      </c>
      <c r="E162" s="18" t="s">
        <v>200</v>
      </c>
      <c r="F162" s="19" t="s">
        <v>271</v>
      </c>
      <c r="G162" s="20">
        <v>45386</v>
      </c>
      <c r="H162" s="20">
        <v>45386</v>
      </c>
      <c r="I162" s="20">
        <v>45386</v>
      </c>
      <c r="J162" s="21">
        <v>11</v>
      </c>
      <c r="K162" s="18" t="s">
        <v>90</v>
      </c>
      <c r="L162" s="22">
        <v>91003</v>
      </c>
      <c r="M162" s="23">
        <v>-4288.92</v>
      </c>
      <c r="N162" s="23">
        <v>86714.08</v>
      </c>
      <c r="O162" s="18" t="s">
        <v>22</v>
      </c>
    </row>
    <row r="163" spans="1:15" s="4" customFormat="1" ht="19.25" customHeight="1" x14ac:dyDescent="0.45">
      <c r="A163" s="18" t="s">
        <v>275</v>
      </c>
      <c r="B163" s="18" t="s">
        <v>197</v>
      </c>
      <c r="C163" s="18" t="s">
        <v>198</v>
      </c>
      <c r="D163" s="18" t="s">
        <v>199</v>
      </c>
      <c r="E163" s="18" t="s">
        <v>200</v>
      </c>
      <c r="F163" s="19" t="s">
        <v>271</v>
      </c>
      <c r="G163" s="20">
        <v>45386</v>
      </c>
      <c r="H163" s="20">
        <v>45386</v>
      </c>
      <c r="I163" s="20">
        <v>45386</v>
      </c>
      <c r="J163" s="21">
        <v>500</v>
      </c>
      <c r="K163" s="18" t="s">
        <v>276</v>
      </c>
      <c r="L163" s="22">
        <v>351500</v>
      </c>
      <c r="M163" s="23">
        <v>-16565.990000000002</v>
      </c>
      <c r="N163" s="23">
        <v>334934.01</v>
      </c>
      <c r="O163" s="18" t="s">
        <v>22</v>
      </c>
    </row>
    <row r="164" spans="1:15" s="4" customFormat="1" ht="19.25" customHeight="1" x14ac:dyDescent="0.45">
      <c r="A164" s="18" t="s">
        <v>277</v>
      </c>
      <c r="B164" s="18" t="s">
        <v>16</v>
      </c>
      <c r="C164" s="18" t="s">
        <v>17</v>
      </c>
      <c r="D164" s="18" t="s">
        <v>18</v>
      </c>
      <c r="E164" s="18" t="s">
        <v>19</v>
      </c>
      <c r="F164" s="19" t="s">
        <v>860</v>
      </c>
      <c r="G164" s="20">
        <v>45386</v>
      </c>
      <c r="H164" s="20">
        <v>45386</v>
      </c>
      <c r="I164" s="20">
        <v>45386</v>
      </c>
      <c r="J164" s="21">
        <v>6</v>
      </c>
      <c r="K164" s="18" t="s">
        <v>90</v>
      </c>
      <c r="L164" s="22">
        <v>75786</v>
      </c>
      <c r="M164" s="23">
        <v>-3571.75</v>
      </c>
      <c r="N164" s="23">
        <v>72214.25</v>
      </c>
      <c r="O164" s="18" t="s">
        <v>22</v>
      </c>
    </row>
    <row r="165" spans="1:15" s="4" customFormat="1" ht="19.25" customHeight="1" x14ac:dyDescent="0.45">
      <c r="A165" s="18" t="s">
        <v>278</v>
      </c>
      <c r="B165" s="18" t="s">
        <v>16</v>
      </c>
      <c r="C165" s="18" t="s">
        <v>17</v>
      </c>
      <c r="D165" s="18" t="s">
        <v>18</v>
      </c>
      <c r="E165" s="18" t="s">
        <v>19</v>
      </c>
      <c r="F165" s="19" t="s">
        <v>861</v>
      </c>
      <c r="G165" s="20">
        <v>45386</v>
      </c>
      <c r="H165" s="20">
        <v>45386</v>
      </c>
      <c r="I165" s="20">
        <v>45386</v>
      </c>
      <c r="J165" s="21">
        <v>6</v>
      </c>
      <c r="K165" s="18" t="s">
        <v>90</v>
      </c>
      <c r="L165" s="22">
        <v>75786</v>
      </c>
      <c r="M165" s="23">
        <v>-3571.75</v>
      </c>
      <c r="N165" s="23">
        <v>72214.25</v>
      </c>
      <c r="O165" s="18" t="s">
        <v>22</v>
      </c>
    </row>
    <row r="166" spans="1:15" s="4" customFormat="1" ht="30.4" customHeight="1" x14ac:dyDescent="0.45">
      <c r="A166" s="18" t="s">
        <v>279</v>
      </c>
      <c r="B166" s="18" t="s">
        <v>16</v>
      </c>
      <c r="C166" s="18" t="s">
        <v>17</v>
      </c>
      <c r="D166" s="18" t="s">
        <v>18</v>
      </c>
      <c r="E166" s="18" t="s">
        <v>19</v>
      </c>
      <c r="F166" s="19" t="s">
        <v>862</v>
      </c>
      <c r="G166" s="20">
        <v>45386</v>
      </c>
      <c r="H166" s="20">
        <v>45386</v>
      </c>
      <c r="I166" s="20">
        <v>45386</v>
      </c>
      <c r="J166" s="21">
        <v>6</v>
      </c>
      <c r="K166" s="18" t="s">
        <v>90</v>
      </c>
      <c r="L166" s="22">
        <v>75786</v>
      </c>
      <c r="M166" s="23">
        <v>-3571.75</v>
      </c>
      <c r="N166" s="23">
        <v>72214.25</v>
      </c>
      <c r="O166" s="18" t="s">
        <v>22</v>
      </c>
    </row>
    <row r="167" spans="1:15" s="4" customFormat="1" ht="19.25" customHeight="1" x14ac:dyDescent="0.45">
      <c r="A167" s="18" t="s">
        <v>280</v>
      </c>
      <c r="B167" s="18" t="s">
        <v>16</v>
      </c>
      <c r="C167" s="18" t="s">
        <v>17</v>
      </c>
      <c r="D167" s="18" t="s">
        <v>18</v>
      </c>
      <c r="E167" s="18" t="s">
        <v>19</v>
      </c>
      <c r="F167" s="19" t="s">
        <v>281</v>
      </c>
      <c r="G167" s="20">
        <v>45386</v>
      </c>
      <c r="H167" s="20">
        <v>45386</v>
      </c>
      <c r="I167" s="20">
        <v>45386</v>
      </c>
      <c r="J167" s="21">
        <v>6</v>
      </c>
      <c r="K167" s="18" t="s">
        <v>90</v>
      </c>
      <c r="L167" s="22">
        <v>75786</v>
      </c>
      <c r="M167" s="23">
        <v>-3571.75</v>
      </c>
      <c r="N167" s="23">
        <v>72214.25</v>
      </c>
      <c r="O167" s="18" t="s">
        <v>102</v>
      </c>
    </row>
    <row r="168" spans="1:15" s="4" customFormat="1" ht="19.25" customHeight="1" x14ac:dyDescent="0.45">
      <c r="A168" s="18" t="s">
        <v>282</v>
      </c>
      <c r="B168" s="18" t="s">
        <v>16</v>
      </c>
      <c r="C168" s="18" t="s">
        <v>17</v>
      </c>
      <c r="D168" s="18" t="s">
        <v>18</v>
      </c>
      <c r="E168" s="18" t="s">
        <v>19</v>
      </c>
      <c r="F168" s="19" t="s">
        <v>281</v>
      </c>
      <c r="G168" s="20">
        <v>45386</v>
      </c>
      <c r="H168" s="20">
        <v>45386</v>
      </c>
      <c r="I168" s="20">
        <v>45386</v>
      </c>
      <c r="J168" s="21">
        <v>6</v>
      </c>
      <c r="K168" s="18" t="s">
        <v>90</v>
      </c>
      <c r="L168" s="22">
        <v>75786</v>
      </c>
      <c r="M168" s="23">
        <v>-3571.75</v>
      </c>
      <c r="N168" s="23">
        <v>72214.25</v>
      </c>
      <c r="O168" s="18" t="s">
        <v>102</v>
      </c>
    </row>
    <row r="169" spans="1:15" s="4" customFormat="1" ht="19.25" customHeight="1" x14ac:dyDescent="0.45">
      <c r="A169" s="18" t="s">
        <v>283</v>
      </c>
      <c r="B169" s="18" t="s">
        <v>64</v>
      </c>
      <c r="C169" s="18" t="s">
        <v>65</v>
      </c>
      <c r="D169" s="18" t="s">
        <v>66</v>
      </c>
      <c r="E169" s="18" t="s">
        <v>67</v>
      </c>
      <c r="F169" s="19" t="s">
        <v>107</v>
      </c>
      <c r="G169" s="20">
        <v>45386</v>
      </c>
      <c r="H169" s="20">
        <v>45386</v>
      </c>
      <c r="I169" s="20">
        <v>45386</v>
      </c>
      <c r="J169" s="21">
        <v>3</v>
      </c>
      <c r="K169" s="18" t="s">
        <v>90</v>
      </c>
      <c r="L169" s="22">
        <f>176841*3/21</f>
        <v>25263</v>
      </c>
      <c r="M169" s="23">
        <f>-8334.41*3/21</f>
        <v>-1190.6299999999999</v>
      </c>
      <c r="N169" s="23">
        <f>168506.59*3/21</f>
        <v>24072.370000000003</v>
      </c>
      <c r="O169" s="18" t="s">
        <v>22</v>
      </c>
    </row>
    <row r="170" spans="1:15" s="4" customFormat="1" ht="19.25" customHeight="1" x14ac:dyDescent="0.45">
      <c r="A170" s="18" t="s">
        <v>284</v>
      </c>
      <c r="B170" s="18"/>
      <c r="C170" s="18"/>
      <c r="D170" s="18"/>
      <c r="E170" s="18" t="s">
        <v>67</v>
      </c>
      <c r="F170" s="19" t="s">
        <v>107</v>
      </c>
      <c r="G170" s="20">
        <v>45386</v>
      </c>
      <c r="H170" s="20"/>
      <c r="I170" s="20"/>
      <c r="J170" s="21">
        <v>3</v>
      </c>
      <c r="K170" s="18" t="s">
        <v>90</v>
      </c>
      <c r="L170" s="22">
        <f>176841*3/21</f>
        <v>25263</v>
      </c>
      <c r="M170" s="23">
        <f>-8334.41*3/21</f>
        <v>-1190.6299999999999</v>
      </c>
      <c r="N170" s="23">
        <f>168506.59*3/21</f>
        <v>24072.370000000003</v>
      </c>
      <c r="O170" s="18" t="s">
        <v>102</v>
      </c>
    </row>
    <row r="171" spans="1:15" s="4" customFormat="1" ht="19.25" customHeight="1" x14ac:dyDescent="0.45">
      <c r="A171" s="18" t="s">
        <v>285</v>
      </c>
      <c r="B171" s="18"/>
      <c r="C171" s="18"/>
      <c r="D171" s="18"/>
      <c r="E171" s="18" t="s">
        <v>67</v>
      </c>
      <c r="F171" s="19" t="s">
        <v>107</v>
      </c>
      <c r="G171" s="20">
        <v>45386</v>
      </c>
      <c r="H171" s="20"/>
      <c r="I171" s="20"/>
      <c r="J171" s="21">
        <v>15</v>
      </c>
      <c r="K171" s="18" t="s">
        <v>90</v>
      </c>
      <c r="L171" s="22">
        <f>176841*15/21</f>
        <v>126315</v>
      </c>
      <c r="M171" s="23">
        <f>-8334.41*15/21</f>
        <v>-5953.15</v>
      </c>
      <c r="N171" s="23">
        <f>168506.59*15/21</f>
        <v>120361.85</v>
      </c>
      <c r="O171" s="18" t="s">
        <v>102</v>
      </c>
    </row>
    <row r="172" spans="1:15" s="4" customFormat="1" ht="19.25" customHeight="1" x14ac:dyDescent="0.45">
      <c r="A172" s="18" t="s">
        <v>286</v>
      </c>
      <c r="B172" s="18" t="s">
        <v>78</v>
      </c>
      <c r="C172" s="18" t="s">
        <v>79</v>
      </c>
      <c r="D172" s="18" t="s">
        <v>80</v>
      </c>
      <c r="E172" s="18" t="s">
        <v>81</v>
      </c>
      <c r="F172" s="19" t="s">
        <v>287</v>
      </c>
      <c r="G172" s="20">
        <v>45386</v>
      </c>
      <c r="H172" s="20">
        <v>45386</v>
      </c>
      <c r="I172" s="20">
        <v>45386</v>
      </c>
      <c r="J172" s="21">
        <v>1</v>
      </c>
      <c r="K172" s="18" t="s">
        <v>90</v>
      </c>
      <c r="L172" s="22">
        <v>765720</v>
      </c>
      <c r="M172" s="23">
        <v>-36087.94</v>
      </c>
      <c r="N172" s="23">
        <v>729632.06</v>
      </c>
      <c r="O172" s="18" t="s">
        <v>22</v>
      </c>
    </row>
    <row r="173" spans="1:15" s="4" customFormat="1" ht="31.25" customHeight="1" x14ac:dyDescent="0.45">
      <c r="A173" s="18" t="s">
        <v>288</v>
      </c>
      <c r="B173" s="18" t="s">
        <v>64</v>
      </c>
      <c r="C173" s="18" t="s">
        <v>65</v>
      </c>
      <c r="D173" s="18" t="s">
        <v>66</v>
      </c>
      <c r="E173" s="18" t="s">
        <v>67</v>
      </c>
      <c r="F173" s="19" t="s">
        <v>289</v>
      </c>
      <c r="G173" s="20">
        <v>45386</v>
      </c>
      <c r="H173" s="20">
        <v>45386</v>
      </c>
      <c r="I173" s="20">
        <v>45386</v>
      </c>
      <c r="J173" s="21">
        <v>1</v>
      </c>
      <c r="K173" s="18" t="s">
        <v>90</v>
      </c>
      <c r="L173" s="22">
        <v>15800</v>
      </c>
      <c r="M173" s="23">
        <v>-744.64</v>
      </c>
      <c r="N173" s="23">
        <v>15055.36</v>
      </c>
      <c r="O173" s="18" t="s">
        <v>102</v>
      </c>
    </row>
    <row r="174" spans="1:15" s="4" customFormat="1" ht="19.25" customHeight="1" x14ac:dyDescent="0.45">
      <c r="A174" s="18" t="s">
        <v>290</v>
      </c>
      <c r="B174" s="18" t="s">
        <v>160</v>
      </c>
      <c r="C174" s="18" t="s">
        <v>161</v>
      </c>
      <c r="D174" s="18" t="s">
        <v>162</v>
      </c>
      <c r="E174" s="18" t="s">
        <v>163</v>
      </c>
      <c r="F174" s="19" t="s">
        <v>291</v>
      </c>
      <c r="G174" s="20">
        <v>45386</v>
      </c>
      <c r="H174" s="20">
        <v>45386</v>
      </c>
      <c r="I174" s="20">
        <v>45386</v>
      </c>
      <c r="J174" s="21">
        <v>1</v>
      </c>
      <c r="K174" s="18" t="s">
        <v>90</v>
      </c>
      <c r="L174" s="22">
        <v>50500</v>
      </c>
      <c r="M174" s="23">
        <v>-2853.34</v>
      </c>
      <c r="N174" s="23">
        <v>47646.66</v>
      </c>
      <c r="O174" s="18" t="s">
        <v>22</v>
      </c>
    </row>
    <row r="175" spans="1:15" s="4" customFormat="1" ht="19.25" customHeight="1" x14ac:dyDescent="0.45">
      <c r="A175" s="18" t="s">
        <v>292</v>
      </c>
      <c r="B175" s="18" t="s">
        <v>70</v>
      </c>
      <c r="C175" s="18" t="s">
        <v>71</v>
      </c>
      <c r="D175" s="18" t="s">
        <v>72</v>
      </c>
      <c r="E175" s="18" t="s">
        <v>73</v>
      </c>
      <c r="F175" s="19" t="s">
        <v>293</v>
      </c>
      <c r="G175" s="20">
        <v>45386</v>
      </c>
      <c r="H175" s="20">
        <v>45386</v>
      </c>
      <c r="I175" s="20">
        <v>45386</v>
      </c>
      <c r="J175" s="21">
        <v>1</v>
      </c>
      <c r="K175" s="18" t="s">
        <v>90</v>
      </c>
      <c r="L175" s="22">
        <v>30000</v>
      </c>
      <c r="M175" s="23">
        <v>-1695.05</v>
      </c>
      <c r="N175" s="23">
        <v>28304.95</v>
      </c>
      <c r="O175" s="18" t="s">
        <v>22</v>
      </c>
    </row>
    <row r="176" spans="1:15" s="4" customFormat="1" ht="19.25" customHeight="1" x14ac:dyDescent="0.45">
      <c r="A176" s="18" t="s">
        <v>294</v>
      </c>
      <c r="B176" s="18" t="s">
        <v>197</v>
      </c>
      <c r="C176" s="18" t="s">
        <v>198</v>
      </c>
      <c r="D176" s="18" t="s">
        <v>199</v>
      </c>
      <c r="E176" s="18" t="s">
        <v>200</v>
      </c>
      <c r="F176" s="19" t="s">
        <v>295</v>
      </c>
      <c r="G176" s="20">
        <v>45386</v>
      </c>
      <c r="H176" s="20">
        <v>45386</v>
      </c>
      <c r="I176" s="20">
        <v>45386</v>
      </c>
      <c r="J176" s="21">
        <v>1</v>
      </c>
      <c r="K176" s="18" t="s">
        <v>90</v>
      </c>
      <c r="L176" s="22">
        <v>38400</v>
      </c>
      <c r="M176" s="23">
        <v>-1809.77</v>
      </c>
      <c r="N176" s="23">
        <v>36590.230000000003</v>
      </c>
      <c r="O176" s="18" t="s">
        <v>22</v>
      </c>
    </row>
    <row r="177" spans="1:15" s="4" customFormat="1" ht="19.25" customHeight="1" x14ac:dyDescent="0.45">
      <c r="A177" s="18" t="s">
        <v>296</v>
      </c>
      <c r="B177" s="18" t="s">
        <v>78</v>
      </c>
      <c r="C177" s="18" t="s">
        <v>79</v>
      </c>
      <c r="D177" s="18" t="s">
        <v>80</v>
      </c>
      <c r="E177" s="18" t="s">
        <v>81</v>
      </c>
      <c r="F177" s="19" t="s">
        <v>297</v>
      </c>
      <c r="G177" s="20">
        <v>45386</v>
      </c>
      <c r="H177" s="20">
        <v>45386</v>
      </c>
      <c r="I177" s="20">
        <v>45386</v>
      </c>
      <c r="J177" s="21">
        <v>1</v>
      </c>
      <c r="K177" s="18" t="s">
        <v>90</v>
      </c>
      <c r="L177" s="22">
        <v>31600</v>
      </c>
      <c r="M177" s="23">
        <v>-1489.29</v>
      </c>
      <c r="N177" s="23">
        <v>30110.71</v>
      </c>
      <c r="O177" s="18" t="s">
        <v>22</v>
      </c>
    </row>
    <row r="178" spans="1:15" s="4" customFormat="1" ht="19.25" customHeight="1" x14ac:dyDescent="0.45">
      <c r="A178" s="18" t="s">
        <v>298</v>
      </c>
      <c r="B178" s="18" t="s">
        <v>57</v>
      </c>
      <c r="C178" s="18" t="s">
        <v>58</v>
      </c>
      <c r="D178" s="18" t="s">
        <v>59</v>
      </c>
      <c r="E178" s="18" t="s">
        <v>60</v>
      </c>
      <c r="F178" s="19" t="s">
        <v>299</v>
      </c>
      <c r="G178" s="20">
        <v>45386</v>
      </c>
      <c r="H178" s="20">
        <v>45386</v>
      </c>
      <c r="I178" s="20">
        <v>45386</v>
      </c>
      <c r="J178" s="21">
        <v>2</v>
      </c>
      <c r="K178" s="18" t="s">
        <v>90</v>
      </c>
      <c r="L178" s="22">
        <f>2842107*2/3</f>
        <v>1894738</v>
      </c>
      <c r="M178" s="23">
        <f>-133946.87*2/3</f>
        <v>-89297.91333333333</v>
      </c>
      <c r="N178" s="23">
        <f>2708160.13*2/3</f>
        <v>1805440.0866666667</v>
      </c>
      <c r="O178" s="18" t="s">
        <v>22</v>
      </c>
    </row>
    <row r="179" spans="1:15" s="4" customFormat="1" ht="19.25" customHeight="1" x14ac:dyDescent="0.45">
      <c r="A179" s="18" t="s">
        <v>300</v>
      </c>
      <c r="B179" s="18"/>
      <c r="C179" s="18"/>
      <c r="D179" s="18"/>
      <c r="E179" s="18" t="s">
        <v>60</v>
      </c>
      <c r="F179" s="19" t="s">
        <v>299</v>
      </c>
      <c r="G179" s="20">
        <v>45386</v>
      </c>
      <c r="H179" s="20"/>
      <c r="I179" s="20"/>
      <c r="J179" s="21">
        <v>1</v>
      </c>
      <c r="K179" s="18" t="s">
        <v>90</v>
      </c>
      <c r="L179" s="22">
        <f>2842107*1/3</f>
        <v>947369</v>
      </c>
      <c r="M179" s="23">
        <f>-133946.87*1/3</f>
        <v>-44648.956666666665</v>
      </c>
      <c r="N179" s="23">
        <f>2708160.13*1/3</f>
        <v>902720.04333333333</v>
      </c>
      <c r="O179" s="18" t="s">
        <v>102</v>
      </c>
    </row>
    <row r="180" spans="1:15" s="4" customFormat="1" ht="19.25" customHeight="1" x14ac:dyDescent="0.45">
      <c r="A180" s="18" t="s">
        <v>301</v>
      </c>
      <c r="B180" s="18" t="s">
        <v>57</v>
      </c>
      <c r="C180" s="18" t="s">
        <v>58</v>
      </c>
      <c r="D180" s="18" t="s">
        <v>59</v>
      </c>
      <c r="E180" s="18" t="s">
        <v>60</v>
      </c>
      <c r="F180" s="19" t="s">
        <v>302</v>
      </c>
      <c r="G180" s="20">
        <v>45386</v>
      </c>
      <c r="H180" s="20">
        <v>45386</v>
      </c>
      <c r="I180" s="20">
        <v>45386</v>
      </c>
      <c r="J180" s="21">
        <v>2</v>
      </c>
      <c r="K180" s="18" t="s">
        <v>90</v>
      </c>
      <c r="L180" s="22">
        <f>205263*2/3</f>
        <v>136842</v>
      </c>
      <c r="M180" s="23">
        <f>-9673.93*2/3</f>
        <v>-6449.2866666666669</v>
      </c>
      <c r="N180" s="23">
        <f>195589.07*2/3</f>
        <v>130392.71333333333</v>
      </c>
      <c r="O180" s="18" t="s">
        <v>22</v>
      </c>
    </row>
    <row r="181" spans="1:15" s="4" customFormat="1" ht="19.25" customHeight="1" x14ac:dyDescent="0.45">
      <c r="A181" s="18" t="s">
        <v>303</v>
      </c>
      <c r="B181" s="18"/>
      <c r="C181" s="18"/>
      <c r="D181" s="18"/>
      <c r="E181" s="18" t="s">
        <v>60</v>
      </c>
      <c r="F181" s="19" t="s">
        <v>302</v>
      </c>
      <c r="G181" s="20">
        <v>45386</v>
      </c>
      <c r="H181" s="20"/>
      <c r="I181" s="20"/>
      <c r="J181" s="21">
        <v>1</v>
      </c>
      <c r="K181" s="18" t="s">
        <v>90</v>
      </c>
      <c r="L181" s="22">
        <f>205263*1/3</f>
        <v>68421</v>
      </c>
      <c r="M181" s="23">
        <f>-9673.93*1/3</f>
        <v>-3224.6433333333334</v>
      </c>
      <c r="N181" s="23">
        <f>195589.07*1/3</f>
        <v>65196.356666666667</v>
      </c>
      <c r="O181" s="18" t="s">
        <v>102</v>
      </c>
    </row>
    <row r="182" spans="1:15" s="4" customFormat="1" ht="19.25" customHeight="1" x14ac:dyDescent="0.45">
      <c r="A182" s="18" t="s">
        <v>304</v>
      </c>
      <c r="B182" s="18" t="s">
        <v>78</v>
      </c>
      <c r="C182" s="18" t="s">
        <v>79</v>
      </c>
      <c r="D182" s="18" t="s">
        <v>80</v>
      </c>
      <c r="E182" s="18" t="s">
        <v>81</v>
      </c>
      <c r="F182" s="19" t="s">
        <v>305</v>
      </c>
      <c r="G182" s="20">
        <v>45386</v>
      </c>
      <c r="H182" s="20">
        <v>45386</v>
      </c>
      <c r="I182" s="20">
        <v>45386</v>
      </c>
      <c r="J182" s="21">
        <v>1</v>
      </c>
      <c r="K182" s="18" t="s">
        <v>90</v>
      </c>
      <c r="L182" s="22">
        <v>510480</v>
      </c>
      <c r="M182" s="23">
        <v>-24058.63</v>
      </c>
      <c r="N182" s="23">
        <v>486421.37</v>
      </c>
      <c r="O182" s="18" t="s">
        <v>102</v>
      </c>
    </row>
    <row r="183" spans="1:15" s="4" customFormat="1" ht="19.25" customHeight="1" x14ac:dyDescent="0.45">
      <c r="A183" s="18" t="s">
        <v>306</v>
      </c>
      <c r="B183" s="18" t="s">
        <v>64</v>
      </c>
      <c r="C183" s="18" t="s">
        <v>65</v>
      </c>
      <c r="D183" s="18" t="s">
        <v>66</v>
      </c>
      <c r="E183" s="18" t="s">
        <v>67</v>
      </c>
      <c r="F183" s="19" t="s">
        <v>307</v>
      </c>
      <c r="G183" s="20">
        <v>45386</v>
      </c>
      <c r="H183" s="20">
        <v>45386</v>
      </c>
      <c r="I183" s="20">
        <v>45386</v>
      </c>
      <c r="J183" s="21">
        <v>1</v>
      </c>
      <c r="K183" s="18" t="s">
        <v>90</v>
      </c>
      <c r="L183" s="22">
        <v>25000</v>
      </c>
      <c r="M183" s="23">
        <v>-1178.24</v>
      </c>
      <c r="N183" s="23">
        <v>23821.759999999998</v>
      </c>
      <c r="O183" s="18" t="s">
        <v>22</v>
      </c>
    </row>
    <row r="184" spans="1:15" s="4" customFormat="1" ht="19.25" customHeight="1" x14ac:dyDescent="0.45">
      <c r="A184" s="18" t="s">
        <v>308</v>
      </c>
      <c r="B184" s="18" t="s">
        <v>78</v>
      </c>
      <c r="C184" s="18" t="s">
        <v>79</v>
      </c>
      <c r="D184" s="18" t="s">
        <v>80</v>
      </c>
      <c r="E184" s="18" t="s">
        <v>81</v>
      </c>
      <c r="F184" s="19" t="s">
        <v>309</v>
      </c>
      <c r="G184" s="20">
        <v>45386</v>
      </c>
      <c r="H184" s="20">
        <v>45386</v>
      </c>
      <c r="I184" s="20">
        <v>45386</v>
      </c>
      <c r="J184" s="21">
        <v>1</v>
      </c>
      <c r="K184" s="18" t="s">
        <v>90</v>
      </c>
      <c r="L184" s="22">
        <v>10500</v>
      </c>
      <c r="M184" s="23">
        <v>-494.86</v>
      </c>
      <c r="N184" s="23">
        <v>10005.14</v>
      </c>
      <c r="O184" s="18" t="s">
        <v>22</v>
      </c>
    </row>
    <row r="185" spans="1:15" s="4" customFormat="1" ht="29.75" customHeight="1" x14ac:dyDescent="0.45">
      <c r="A185" s="18" t="s">
        <v>310</v>
      </c>
      <c r="B185" s="18" t="s">
        <v>64</v>
      </c>
      <c r="C185" s="18" t="s">
        <v>65</v>
      </c>
      <c r="D185" s="18" t="s">
        <v>66</v>
      </c>
      <c r="E185" s="18" t="s">
        <v>67</v>
      </c>
      <c r="F185" s="19" t="s">
        <v>311</v>
      </c>
      <c r="G185" s="20">
        <v>45386</v>
      </c>
      <c r="H185" s="20">
        <v>45386</v>
      </c>
      <c r="I185" s="20">
        <v>45386</v>
      </c>
      <c r="J185" s="21">
        <v>2</v>
      </c>
      <c r="K185" s="18" t="s">
        <v>90</v>
      </c>
      <c r="L185" s="22">
        <v>25262</v>
      </c>
      <c r="M185" s="23">
        <v>-1190.58</v>
      </c>
      <c r="N185" s="23">
        <v>24071.42</v>
      </c>
      <c r="O185" s="18" t="s">
        <v>22</v>
      </c>
    </row>
    <row r="186" spans="1:15" s="4" customFormat="1" ht="29.75" customHeight="1" x14ac:dyDescent="0.45">
      <c r="A186" s="18" t="s">
        <v>312</v>
      </c>
      <c r="B186" s="18" t="s">
        <v>64</v>
      </c>
      <c r="C186" s="18" t="s">
        <v>65</v>
      </c>
      <c r="D186" s="18" t="s">
        <v>66</v>
      </c>
      <c r="E186" s="18" t="s">
        <v>67</v>
      </c>
      <c r="F186" s="19" t="s">
        <v>311</v>
      </c>
      <c r="G186" s="20">
        <v>45386</v>
      </c>
      <c r="H186" s="20">
        <v>45386</v>
      </c>
      <c r="I186" s="20">
        <v>45386</v>
      </c>
      <c r="J186" s="21">
        <v>2</v>
      </c>
      <c r="K186" s="18" t="s">
        <v>90</v>
      </c>
      <c r="L186" s="22">
        <v>25262</v>
      </c>
      <c r="M186" s="23">
        <v>-1190.58</v>
      </c>
      <c r="N186" s="23">
        <v>24071.42</v>
      </c>
      <c r="O186" s="18" t="s">
        <v>22</v>
      </c>
    </row>
    <row r="187" spans="1:15" s="4" customFormat="1" ht="29.75" customHeight="1" x14ac:dyDescent="0.45">
      <c r="A187" s="18" t="s">
        <v>313</v>
      </c>
      <c r="B187" s="18" t="s">
        <v>96</v>
      </c>
      <c r="C187" s="18" t="s">
        <v>97</v>
      </c>
      <c r="D187" s="18" t="s">
        <v>98</v>
      </c>
      <c r="E187" s="18" t="s">
        <v>99</v>
      </c>
      <c r="F187" s="19" t="s">
        <v>314</v>
      </c>
      <c r="G187" s="20">
        <v>45386</v>
      </c>
      <c r="H187" s="20">
        <v>45386</v>
      </c>
      <c r="I187" s="20">
        <v>45386</v>
      </c>
      <c r="J187" s="21">
        <v>2</v>
      </c>
      <c r="K187" s="18" t="s">
        <v>90</v>
      </c>
      <c r="L187" s="22">
        <v>26096</v>
      </c>
      <c r="M187" s="23">
        <v>-1229.8900000000001</v>
      </c>
      <c r="N187" s="23">
        <v>24866.11</v>
      </c>
      <c r="O187" s="18" t="s">
        <v>22</v>
      </c>
    </row>
    <row r="188" spans="1:15" s="4" customFormat="1" ht="29.75" customHeight="1" x14ac:dyDescent="0.45">
      <c r="A188" s="18" t="s">
        <v>315</v>
      </c>
      <c r="B188" s="18" t="s">
        <v>64</v>
      </c>
      <c r="C188" s="18" t="s">
        <v>65</v>
      </c>
      <c r="D188" s="18" t="s">
        <v>66</v>
      </c>
      <c r="E188" s="18" t="s">
        <v>67</v>
      </c>
      <c r="F188" s="19" t="s">
        <v>311</v>
      </c>
      <c r="G188" s="20">
        <v>45386</v>
      </c>
      <c r="H188" s="20">
        <v>45386</v>
      </c>
      <c r="I188" s="20">
        <v>45386</v>
      </c>
      <c r="J188" s="21">
        <v>3</v>
      </c>
      <c r="K188" s="18" t="s">
        <v>90</v>
      </c>
      <c r="L188" s="22">
        <v>25263</v>
      </c>
      <c r="M188" s="23">
        <v>-1190.6300000000001</v>
      </c>
      <c r="N188" s="23">
        <v>24072.37</v>
      </c>
      <c r="O188" s="18" t="s">
        <v>22</v>
      </c>
    </row>
    <row r="189" spans="1:15" s="4" customFormat="1" ht="29.75" customHeight="1" x14ac:dyDescent="0.45">
      <c r="A189" s="18" t="s">
        <v>316</v>
      </c>
      <c r="B189" s="18" t="s">
        <v>96</v>
      </c>
      <c r="C189" s="18" t="s">
        <v>97</v>
      </c>
      <c r="D189" s="18" t="s">
        <v>98</v>
      </c>
      <c r="E189" s="18" t="s">
        <v>99</v>
      </c>
      <c r="F189" s="19" t="s">
        <v>863</v>
      </c>
      <c r="G189" s="20">
        <v>45386</v>
      </c>
      <c r="H189" s="20">
        <v>45386</v>
      </c>
      <c r="I189" s="20">
        <v>45386</v>
      </c>
      <c r="J189" s="21">
        <v>2</v>
      </c>
      <c r="K189" s="18" t="s">
        <v>90</v>
      </c>
      <c r="L189" s="22">
        <f>101048*2/8</f>
        <v>25262</v>
      </c>
      <c r="M189" s="23">
        <f>-4762.33*2/8</f>
        <v>-1190.5825</v>
      </c>
      <c r="N189" s="23">
        <f>96285.67*2/8</f>
        <v>24071.4175</v>
      </c>
      <c r="O189" s="18" t="s">
        <v>22</v>
      </c>
    </row>
    <row r="190" spans="1:15" s="4" customFormat="1" ht="29.75" customHeight="1" x14ac:dyDescent="0.45">
      <c r="A190" s="18" t="s">
        <v>317</v>
      </c>
      <c r="B190" s="18"/>
      <c r="C190" s="18"/>
      <c r="D190" s="18"/>
      <c r="E190" s="18" t="s">
        <v>99</v>
      </c>
      <c r="F190" s="19" t="s">
        <v>863</v>
      </c>
      <c r="G190" s="20">
        <v>45386</v>
      </c>
      <c r="H190" s="20"/>
      <c r="I190" s="20"/>
      <c r="J190" s="21">
        <v>1</v>
      </c>
      <c r="K190" s="18" t="s">
        <v>90</v>
      </c>
      <c r="L190" s="22">
        <f>101048*1/8</f>
        <v>12631</v>
      </c>
      <c r="M190" s="23">
        <f>-4762.33*1/8</f>
        <v>-595.29124999999999</v>
      </c>
      <c r="N190" s="23">
        <f>96285.67*1/8</f>
        <v>12035.70875</v>
      </c>
      <c r="O190" s="18" t="s">
        <v>102</v>
      </c>
    </row>
    <row r="191" spans="1:15" s="4" customFormat="1" ht="29.75" customHeight="1" x14ac:dyDescent="0.45">
      <c r="A191" s="18" t="s">
        <v>318</v>
      </c>
      <c r="B191" s="18"/>
      <c r="C191" s="18"/>
      <c r="D191" s="18"/>
      <c r="E191" s="18" t="s">
        <v>99</v>
      </c>
      <c r="F191" s="19" t="s">
        <v>863</v>
      </c>
      <c r="G191" s="20">
        <v>45386</v>
      </c>
      <c r="H191" s="20"/>
      <c r="I191" s="20"/>
      <c r="J191" s="21">
        <v>5</v>
      </c>
      <c r="K191" s="18" t="s">
        <v>90</v>
      </c>
      <c r="L191" s="22">
        <f>101048*5/8</f>
        <v>63155</v>
      </c>
      <c r="M191" s="23">
        <f>-4762.33*5/8</f>
        <v>-2976.4562500000002</v>
      </c>
      <c r="N191" s="23">
        <f>96285.67*5/8</f>
        <v>60178.543749999997</v>
      </c>
      <c r="O191" s="18" t="s">
        <v>102</v>
      </c>
    </row>
    <row r="192" spans="1:15" s="4" customFormat="1" ht="29.75" customHeight="1" x14ac:dyDescent="0.45">
      <c r="A192" s="18" t="s">
        <v>319</v>
      </c>
      <c r="B192" s="18" t="s">
        <v>16</v>
      </c>
      <c r="C192" s="18" t="s">
        <v>17</v>
      </c>
      <c r="D192" s="18" t="s">
        <v>18</v>
      </c>
      <c r="E192" s="18" t="s">
        <v>19</v>
      </c>
      <c r="F192" s="19" t="s">
        <v>864</v>
      </c>
      <c r="G192" s="20">
        <v>45386</v>
      </c>
      <c r="H192" s="20">
        <v>45386</v>
      </c>
      <c r="I192" s="20">
        <v>45386</v>
      </c>
      <c r="J192" s="21">
        <v>3</v>
      </c>
      <c r="K192" s="18" t="s">
        <v>90</v>
      </c>
      <c r="L192" s="22">
        <v>37893</v>
      </c>
      <c r="M192" s="23">
        <v>-1785.88</v>
      </c>
      <c r="N192" s="23">
        <v>36107.120000000003</v>
      </c>
      <c r="O192" s="18" t="s">
        <v>22</v>
      </c>
    </row>
    <row r="193" spans="1:15" s="4" customFormat="1" ht="29.75" customHeight="1" x14ac:dyDescent="0.45">
      <c r="A193" s="18" t="s">
        <v>320</v>
      </c>
      <c r="B193" s="18" t="s">
        <v>57</v>
      </c>
      <c r="C193" s="18" t="s">
        <v>58</v>
      </c>
      <c r="D193" s="18" t="s">
        <v>59</v>
      </c>
      <c r="E193" s="18" t="s">
        <v>60</v>
      </c>
      <c r="F193" s="19" t="s">
        <v>865</v>
      </c>
      <c r="G193" s="20">
        <v>45386</v>
      </c>
      <c r="H193" s="20">
        <v>45386</v>
      </c>
      <c r="I193" s="20">
        <v>45386</v>
      </c>
      <c r="J193" s="21">
        <v>2</v>
      </c>
      <c r="K193" s="18" t="s">
        <v>90</v>
      </c>
      <c r="L193" s="22">
        <f>1000000*2/8</f>
        <v>250000</v>
      </c>
      <c r="M193" s="23">
        <f>-47129.42*2/8</f>
        <v>-11782.355</v>
      </c>
      <c r="N193" s="23">
        <f>952870.58*2/8</f>
        <v>238217.64499999999</v>
      </c>
      <c r="O193" s="18" t="s">
        <v>22</v>
      </c>
    </row>
    <row r="194" spans="1:15" s="4" customFormat="1" ht="29.75" customHeight="1" x14ac:dyDescent="0.45">
      <c r="A194" s="18" t="s">
        <v>321</v>
      </c>
      <c r="B194" s="18"/>
      <c r="C194" s="18"/>
      <c r="D194" s="18"/>
      <c r="E194" s="18" t="s">
        <v>60</v>
      </c>
      <c r="F194" s="19" t="s">
        <v>865</v>
      </c>
      <c r="G194" s="20">
        <v>45386</v>
      </c>
      <c r="H194" s="20"/>
      <c r="I194" s="20"/>
      <c r="J194" s="21">
        <v>1</v>
      </c>
      <c r="K194" s="18" t="s">
        <v>90</v>
      </c>
      <c r="L194" s="22">
        <f>1000000*1/8</f>
        <v>125000</v>
      </c>
      <c r="M194" s="23">
        <f>-47129.42*1/8</f>
        <v>-5891.1774999999998</v>
      </c>
      <c r="N194" s="23">
        <f>952870.58*1/8</f>
        <v>119108.82249999999</v>
      </c>
      <c r="O194" s="18" t="s">
        <v>102</v>
      </c>
    </row>
    <row r="195" spans="1:15" s="4" customFormat="1" ht="29.75" customHeight="1" x14ac:dyDescent="0.45">
      <c r="A195" s="18" t="s">
        <v>322</v>
      </c>
      <c r="B195" s="18"/>
      <c r="C195" s="18"/>
      <c r="D195" s="18"/>
      <c r="E195" s="18" t="s">
        <v>60</v>
      </c>
      <c r="F195" s="19" t="s">
        <v>865</v>
      </c>
      <c r="G195" s="20">
        <v>45386</v>
      </c>
      <c r="H195" s="20"/>
      <c r="I195" s="20"/>
      <c r="J195" s="21">
        <v>5</v>
      </c>
      <c r="K195" s="18" t="s">
        <v>90</v>
      </c>
      <c r="L195" s="22">
        <f>1000000*5/8</f>
        <v>625000</v>
      </c>
      <c r="M195" s="23">
        <f>-47129.42*5/8</f>
        <v>-29455.887499999997</v>
      </c>
      <c r="N195" s="23">
        <f>952870.58*5/8</f>
        <v>595544.11249999993</v>
      </c>
      <c r="O195" s="18" t="s">
        <v>102</v>
      </c>
    </row>
    <row r="196" spans="1:15" s="4" customFormat="1" ht="19.25" customHeight="1" x14ac:dyDescent="0.45">
      <c r="A196" s="18" t="s">
        <v>323</v>
      </c>
      <c r="B196" s="18" t="s">
        <v>57</v>
      </c>
      <c r="C196" s="18" t="s">
        <v>58</v>
      </c>
      <c r="D196" s="18" t="s">
        <v>59</v>
      </c>
      <c r="E196" s="18" t="s">
        <v>60</v>
      </c>
      <c r="F196" s="19" t="s">
        <v>324</v>
      </c>
      <c r="G196" s="20">
        <v>45386</v>
      </c>
      <c r="H196" s="20">
        <v>45386</v>
      </c>
      <c r="I196" s="20">
        <v>45386</v>
      </c>
      <c r="J196" s="21">
        <v>6</v>
      </c>
      <c r="K196" s="18" t="s">
        <v>90</v>
      </c>
      <c r="L196" s="22">
        <f>2352000*6/24</f>
        <v>588000</v>
      </c>
      <c r="M196" s="23">
        <f>-110848.41*6/24</f>
        <v>-27712.102499999997</v>
      </c>
      <c r="N196" s="23">
        <f>2241151.59*6/24</f>
        <v>560287.89749999996</v>
      </c>
      <c r="O196" s="18" t="s">
        <v>22</v>
      </c>
    </row>
    <row r="197" spans="1:15" s="4" customFormat="1" ht="19.25" customHeight="1" x14ac:dyDescent="0.45">
      <c r="A197" s="18" t="s">
        <v>325</v>
      </c>
      <c r="B197" s="18"/>
      <c r="C197" s="18"/>
      <c r="D197" s="18"/>
      <c r="E197" s="18" t="s">
        <v>60</v>
      </c>
      <c r="F197" s="19" t="s">
        <v>324</v>
      </c>
      <c r="G197" s="20">
        <v>45386</v>
      </c>
      <c r="H197" s="20"/>
      <c r="I197" s="20"/>
      <c r="J197" s="21">
        <v>3</v>
      </c>
      <c r="K197" s="18" t="s">
        <v>90</v>
      </c>
      <c r="L197" s="22">
        <f>2352000*3/24</f>
        <v>294000</v>
      </c>
      <c r="M197" s="23">
        <f>-110848.41*3/24</f>
        <v>-13856.051249999999</v>
      </c>
      <c r="N197" s="23">
        <f>2241151.59*3/24</f>
        <v>280143.94874999998</v>
      </c>
      <c r="O197" s="18" t="s">
        <v>102</v>
      </c>
    </row>
    <row r="198" spans="1:15" s="4" customFormat="1" ht="19.25" customHeight="1" x14ac:dyDescent="0.45">
      <c r="A198" s="18" t="s">
        <v>326</v>
      </c>
      <c r="B198" s="18"/>
      <c r="C198" s="18"/>
      <c r="D198" s="18"/>
      <c r="E198" s="18" t="s">
        <v>60</v>
      </c>
      <c r="F198" s="19" t="s">
        <v>324</v>
      </c>
      <c r="G198" s="20">
        <v>45386</v>
      </c>
      <c r="H198" s="20"/>
      <c r="I198" s="20"/>
      <c r="J198" s="21">
        <v>15</v>
      </c>
      <c r="K198" s="18" t="s">
        <v>90</v>
      </c>
      <c r="L198" s="22">
        <f>2352000*15/24</f>
        <v>1470000</v>
      </c>
      <c r="M198" s="23">
        <f>-110848.41*15/24</f>
        <v>-69280.256250000006</v>
      </c>
      <c r="N198" s="23">
        <f>2241151.59*15/24</f>
        <v>1400719.7437499997</v>
      </c>
      <c r="O198" s="18" t="s">
        <v>102</v>
      </c>
    </row>
    <row r="199" spans="1:15" s="4" customFormat="1" ht="19.25" customHeight="1" x14ac:dyDescent="0.45">
      <c r="A199" s="18" t="s">
        <v>327</v>
      </c>
      <c r="B199" s="18" t="s">
        <v>57</v>
      </c>
      <c r="C199" s="18" t="s">
        <v>58</v>
      </c>
      <c r="D199" s="18" t="s">
        <v>59</v>
      </c>
      <c r="E199" s="18" t="s">
        <v>60</v>
      </c>
      <c r="F199" s="19" t="s">
        <v>866</v>
      </c>
      <c r="G199" s="20">
        <v>45386</v>
      </c>
      <c r="H199" s="20">
        <v>45386</v>
      </c>
      <c r="I199" s="20">
        <v>45386</v>
      </c>
      <c r="J199" s="21">
        <v>12</v>
      </c>
      <c r="K199" s="18" t="s">
        <v>90</v>
      </c>
      <c r="L199" s="22">
        <v>1176000</v>
      </c>
      <c r="M199" s="23">
        <v>-55424.2</v>
      </c>
      <c r="N199" s="23">
        <v>1120575.8</v>
      </c>
      <c r="O199" s="18" t="s">
        <v>22</v>
      </c>
    </row>
    <row r="200" spans="1:15" s="4" customFormat="1" ht="19.25" customHeight="1" x14ac:dyDescent="0.45">
      <c r="A200" s="18" t="s">
        <v>328</v>
      </c>
      <c r="B200" s="18" t="s">
        <v>57</v>
      </c>
      <c r="C200" s="18" t="s">
        <v>58</v>
      </c>
      <c r="D200" s="18" t="s">
        <v>59</v>
      </c>
      <c r="E200" s="18" t="s">
        <v>60</v>
      </c>
      <c r="F200" s="19" t="s">
        <v>329</v>
      </c>
      <c r="G200" s="20">
        <v>45386</v>
      </c>
      <c r="H200" s="20">
        <v>45386</v>
      </c>
      <c r="I200" s="20">
        <v>45386</v>
      </c>
      <c r="J200" s="21">
        <v>20</v>
      </c>
      <c r="K200" s="18" t="s">
        <v>90</v>
      </c>
      <c r="L200" s="22">
        <f>2940000*20/30</f>
        <v>1960000</v>
      </c>
      <c r="M200" s="23">
        <f>-138560.51*20/30</f>
        <v>-92373.67333333334</v>
      </c>
      <c r="N200" s="23">
        <f>2801439.49*20/30</f>
        <v>1867626.3266666669</v>
      </c>
      <c r="O200" s="18" t="s">
        <v>22</v>
      </c>
    </row>
    <row r="201" spans="1:15" s="4" customFormat="1" ht="19.25" customHeight="1" x14ac:dyDescent="0.45">
      <c r="A201" s="18" t="s">
        <v>330</v>
      </c>
      <c r="B201" s="18"/>
      <c r="C201" s="18"/>
      <c r="D201" s="18"/>
      <c r="E201" s="18" t="s">
        <v>60</v>
      </c>
      <c r="F201" s="19" t="s">
        <v>329</v>
      </c>
      <c r="G201" s="20">
        <v>45386</v>
      </c>
      <c r="H201" s="20"/>
      <c r="I201" s="20"/>
      <c r="J201" s="21">
        <v>10</v>
      </c>
      <c r="K201" s="18" t="s">
        <v>90</v>
      </c>
      <c r="L201" s="22">
        <f>2940000*10/30</f>
        <v>980000</v>
      </c>
      <c r="M201" s="23">
        <f>-138560.51*10/30</f>
        <v>-46186.83666666667</v>
      </c>
      <c r="N201" s="23">
        <f>2801439.49*10/30</f>
        <v>933813.16333333345</v>
      </c>
      <c r="O201" s="18" t="s">
        <v>102</v>
      </c>
    </row>
    <row r="202" spans="1:15" s="4" customFormat="1" ht="19.25" customHeight="1" x14ac:dyDescent="0.45">
      <c r="A202" s="18" t="s">
        <v>331</v>
      </c>
      <c r="B202" s="18" t="s">
        <v>57</v>
      </c>
      <c r="C202" s="18" t="s">
        <v>58</v>
      </c>
      <c r="D202" s="18" t="s">
        <v>59</v>
      </c>
      <c r="E202" s="18" t="s">
        <v>60</v>
      </c>
      <c r="F202" s="19" t="s">
        <v>332</v>
      </c>
      <c r="G202" s="20">
        <v>45386</v>
      </c>
      <c r="H202" s="20">
        <v>45386</v>
      </c>
      <c r="I202" s="20">
        <v>45386</v>
      </c>
      <c r="J202" s="21">
        <v>3</v>
      </c>
      <c r="K202" s="18" t="s">
        <v>90</v>
      </c>
      <c r="L202" s="22">
        <v>375000</v>
      </c>
      <c r="M202" s="23">
        <v>-17673.53</v>
      </c>
      <c r="N202" s="23">
        <v>357326.47</v>
      </c>
      <c r="O202" s="18" t="s">
        <v>22</v>
      </c>
    </row>
    <row r="203" spans="1:15" s="4" customFormat="1" ht="19.25" customHeight="1" x14ac:dyDescent="0.45">
      <c r="A203" s="18" t="s">
        <v>333</v>
      </c>
      <c r="B203" s="18" t="s">
        <v>57</v>
      </c>
      <c r="C203" s="18" t="s">
        <v>58</v>
      </c>
      <c r="D203" s="18" t="s">
        <v>59</v>
      </c>
      <c r="E203" s="18" t="s">
        <v>60</v>
      </c>
      <c r="F203" s="19" t="s">
        <v>334</v>
      </c>
      <c r="G203" s="20">
        <v>45386</v>
      </c>
      <c r="H203" s="20">
        <v>45386</v>
      </c>
      <c r="I203" s="20">
        <v>45386</v>
      </c>
      <c r="J203" s="21">
        <v>9</v>
      </c>
      <c r="K203" s="18" t="s">
        <v>90</v>
      </c>
      <c r="L203" s="22">
        <v>1125000</v>
      </c>
      <c r="M203" s="23">
        <v>-53020.6</v>
      </c>
      <c r="N203" s="23">
        <v>1071979.3999999999</v>
      </c>
      <c r="O203" s="18" t="s">
        <v>22</v>
      </c>
    </row>
    <row r="204" spans="1:15" s="4" customFormat="1" ht="19.25" customHeight="1" x14ac:dyDescent="0.45">
      <c r="A204" s="18" t="s">
        <v>335</v>
      </c>
      <c r="B204" s="18" t="s">
        <v>57</v>
      </c>
      <c r="C204" s="18" t="s">
        <v>58</v>
      </c>
      <c r="D204" s="18" t="s">
        <v>59</v>
      </c>
      <c r="E204" s="18" t="s">
        <v>60</v>
      </c>
      <c r="F204" s="19" t="s">
        <v>324</v>
      </c>
      <c r="G204" s="20">
        <v>45386</v>
      </c>
      <c r="H204" s="20">
        <v>45386</v>
      </c>
      <c r="I204" s="20">
        <v>45386</v>
      </c>
      <c r="J204" s="21">
        <v>3</v>
      </c>
      <c r="K204" s="18" t="s">
        <v>90</v>
      </c>
      <c r="L204" s="22">
        <v>294000</v>
      </c>
      <c r="M204" s="23">
        <v>-13856.05</v>
      </c>
      <c r="N204" s="23">
        <v>280143.95</v>
      </c>
      <c r="O204" s="18" t="s">
        <v>22</v>
      </c>
    </row>
    <row r="205" spans="1:15" s="4" customFormat="1" ht="19.25" customHeight="1" x14ac:dyDescent="0.45">
      <c r="A205" s="18" t="s">
        <v>336</v>
      </c>
      <c r="B205" s="18" t="s">
        <v>57</v>
      </c>
      <c r="C205" s="18" t="s">
        <v>58</v>
      </c>
      <c r="D205" s="18" t="s">
        <v>59</v>
      </c>
      <c r="E205" s="18" t="s">
        <v>60</v>
      </c>
      <c r="F205" s="19" t="s">
        <v>337</v>
      </c>
      <c r="G205" s="20">
        <v>45386</v>
      </c>
      <c r="H205" s="20">
        <v>45386</v>
      </c>
      <c r="I205" s="20">
        <v>45386</v>
      </c>
      <c r="J205" s="21">
        <v>6</v>
      </c>
      <c r="K205" s="18" t="s">
        <v>90</v>
      </c>
      <c r="L205" s="22">
        <v>588000</v>
      </c>
      <c r="M205" s="23">
        <v>-27712.1</v>
      </c>
      <c r="N205" s="23">
        <v>560287.9</v>
      </c>
      <c r="O205" s="18" t="s">
        <v>22</v>
      </c>
    </row>
    <row r="206" spans="1:15" s="4" customFormat="1" ht="19.25" customHeight="1" x14ac:dyDescent="0.45">
      <c r="A206" s="18" t="s">
        <v>338</v>
      </c>
      <c r="B206" s="18" t="s">
        <v>57</v>
      </c>
      <c r="C206" s="18" t="s">
        <v>58</v>
      </c>
      <c r="D206" s="18" t="s">
        <v>59</v>
      </c>
      <c r="E206" s="18" t="s">
        <v>60</v>
      </c>
      <c r="F206" s="19" t="s">
        <v>329</v>
      </c>
      <c r="G206" s="20">
        <v>45386</v>
      </c>
      <c r="H206" s="20">
        <v>45386</v>
      </c>
      <c r="I206" s="20">
        <v>45386</v>
      </c>
      <c r="J206" s="21">
        <v>3</v>
      </c>
      <c r="K206" s="18" t="s">
        <v>90</v>
      </c>
      <c r="L206" s="22">
        <v>294000</v>
      </c>
      <c r="M206" s="23">
        <v>-13856.05</v>
      </c>
      <c r="N206" s="23">
        <v>280143.95</v>
      </c>
      <c r="O206" s="18" t="s">
        <v>22</v>
      </c>
    </row>
    <row r="207" spans="1:15" s="4" customFormat="1" ht="19.25" customHeight="1" x14ac:dyDescent="0.45">
      <c r="A207" s="18" t="s">
        <v>339</v>
      </c>
      <c r="B207" s="18" t="s">
        <v>57</v>
      </c>
      <c r="C207" s="18" t="s">
        <v>58</v>
      </c>
      <c r="D207" s="18" t="s">
        <v>59</v>
      </c>
      <c r="E207" s="18" t="s">
        <v>60</v>
      </c>
      <c r="F207" s="19" t="s">
        <v>340</v>
      </c>
      <c r="G207" s="20">
        <v>45386</v>
      </c>
      <c r="H207" s="20">
        <v>45386</v>
      </c>
      <c r="I207" s="20">
        <v>45386</v>
      </c>
      <c r="J207" s="21">
        <v>0.25</v>
      </c>
      <c r="K207" s="18" t="s">
        <v>90</v>
      </c>
      <c r="L207" s="22">
        <v>1450000</v>
      </c>
      <c r="M207" s="23">
        <v>-68337.67</v>
      </c>
      <c r="N207" s="23">
        <v>1381662.33</v>
      </c>
      <c r="O207" s="18" t="s">
        <v>22</v>
      </c>
    </row>
    <row r="208" spans="1:15" s="4" customFormat="1" ht="19.25" customHeight="1" x14ac:dyDescent="0.45">
      <c r="A208" s="18" t="s">
        <v>341</v>
      </c>
      <c r="B208" s="18" t="s">
        <v>57</v>
      </c>
      <c r="C208" s="18" t="s">
        <v>58</v>
      </c>
      <c r="D208" s="18" t="s">
        <v>59</v>
      </c>
      <c r="E208" s="18" t="s">
        <v>60</v>
      </c>
      <c r="F208" s="19" t="s">
        <v>332</v>
      </c>
      <c r="G208" s="20">
        <v>45386</v>
      </c>
      <c r="H208" s="20">
        <v>45386</v>
      </c>
      <c r="I208" s="20">
        <v>45386</v>
      </c>
      <c r="J208" s="21">
        <v>5</v>
      </c>
      <c r="K208" s="18" t="s">
        <v>90</v>
      </c>
      <c r="L208" s="22">
        <v>625000</v>
      </c>
      <c r="M208" s="23">
        <v>-29455.89</v>
      </c>
      <c r="N208" s="23">
        <v>595544.11</v>
      </c>
      <c r="O208" s="18" t="s">
        <v>102</v>
      </c>
    </row>
    <row r="209" spans="1:15" s="4" customFormat="1" ht="19.25" customHeight="1" x14ac:dyDescent="0.45">
      <c r="A209" s="18" t="s">
        <v>342</v>
      </c>
      <c r="B209" s="18" t="s">
        <v>57</v>
      </c>
      <c r="C209" s="18" t="s">
        <v>58</v>
      </c>
      <c r="D209" s="18" t="s">
        <v>59</v>
      </c>
      <c r="E209" s="18" t="s">
        <v>60</v>
      </c>
      <c r="F209" s="19" t="s">
        <v>343</v>
      </c>
      <c r="G209" s="20">
        <v>45386</v>
      </c>
      <c r="H209" s="20">
        <v>45386</v>
      </c>
      <c r="I209" s="20">
        <v>45386</v>
      </c>
      <c r="J209" s="21">
        <v>12</v>
      </c>
      <c r="K209" s="18" t="s">
        <v>90</v>
      </c>
      <c r="L209" s="22">
        <v>1500000</v>
      </c>
      <c r="M209" s="23">
        <v>-70694.14</v>
      </c>
      <c r="N209" s="23">
        <v>1429305.86</v>
      </c>
      <c r="O209" s="18" t="s">
        <v>102</v>
      </c>
    </row>
    <row r="210" spans="1:15" s="4" customFormat="1" ht="19.25" customHeight="1" x14ac:dyDescent="0.45">
      <c r="A210" s="18" t="s">
        <v>344</v>
      </c>
      <c r="B210" s="18" t="s">
        <v>57</v>
      </c>
      <c r="C210" s="18" t="s">
        <v>58</v>
      </c>
      <c r="D210" s="18" t="s">
        <v>59</v>
      </c>
      <c r="E210" s="18" t="s">
        <v>60</v>
      </c>
      <c r="F210" s="19" t="s">
        <v>345</v>
      </c>
      <c r="G210" s="20">
        <v>45386</v>
      </c>
      <c r="H210" s="20">
        <v>45386</v>
      </c>
      <c r="I210" s="20">
        <v>45386</v>
      </c>
      <c r="J210" s="21">
        <v>1</v>
      </c>
      <c r="K210" s="18" t="s">
        <v>90</v>
      </c>
      <c r="L210" s="22">
        <f>1912500*5/11</f>
        <v>869318.18181818177</v>
      </c>
      <c r="M210" s="23">
        <f>-90135.02*5/11</f>
        <v>-40970.463636363638</v>
      </c>
      <c r="N210" s="23">
        <f>1822364.98*5/11</f>
        <v>828347.71818181826</v>
      </c>
      <c r="O210" s="18" t="s">
        <v>22</v>
      </c>
    </row>
    <row r="211" spans="1:15" s="4" customFormat="1" ht="19.25" customHeight="1" x14ac:dyDescent="0.45">
      <c r="A211" s="18" t="s">
        <v>346</v>
      </c>
      <c r="B211" s="18"/>
      <c r="C211" s="18"/>
      <c r="D211" s="18"/>
      <c r="E211" s="18" t="s">
        <v>60</v>
      </c>
      <c r="F211" s="19" t="s">
        <v>345</v>
      </c>
      <c r="G211" s="20">
        <v>45386</v>
      </c>
      <c r="H211" s="20"/>
      <c r="I211" s="20"/>
      <c r="J211" s="21">
        <v>1</v>
      </c>
      <c r="K211" s="18" t="s">
        <v>90</v>
      </c>
      <c r="L211" s="22">
        <f>1912500*1/11</f>
        <v>173863.63636363635</v>
      </c>
      <c r="M211" s="23">
        <f>-90135.02*1/11</f>
        <v>-8194.0927272727276</v>
      </c>
      <c r="N211" s="23">
        <f>1822364.98*1/11</f>
        <v>165669.54363636364</v>
      </c>
      <c r="O211" s="18" t="s">
        <v>102</v>
      </c>
    </row>
    <row r="212" spans="1:15" s="4" customFormat="1" ht="19.25" customHeight="1" x14ac:dyDescent="0.45">
      <c r="A212" s="18" t="s">
        <v>347</v>
      </c>
      <c r="B212" s="18"/>
      <c r="C212" s="18"/>
      <c r="D212" s="18"/>
      <c r="E212" s="18" t="s">
        <v>60</v>
      </c>
      <c r="F212" s="19" t="s">
        <v>345</v>
      </c>
      <c r="G212" s="20">
        <v>45386</v>
      </c>
      <c r="H212" s="20"/>
      <c r="I212" s="20"/>
      <c r="J212" s="21">
        <v>1</v>
      </c>
      <c r="K212" s="18" t="s">
        <v>90</v>
      </c>
      <c r="L212" s="22">
        <f>1912500*5/11</f>
        <v>869318.18181818177</v>
      </c>
      <c r="M212" s="23">
        <f>-90135.02*5/11</f>
        <v>-40970.463636363638</v>
      </c>
      <c r="N212" s="23">
        <f>1822364.98*5/11</f>
        <v>828347.71818181826</v>
      </c>
      <c r="O212" s="18" t="s">
        <v>102</v>
      </c>
    </row>
    <row r="213" spans="1:15" s="4" customFormat="1" ht="19.25" customHeight="1" x14ac:dyDescent="0.45">
      <c r="A213" s="18" t="s">
        <v>348</v>
      </c>
      <c r="B213" s="18" t="s">
        <v>57</v>
      </c>
      <c r="C213" s="18" t="s">
        <v>58</v>
      </c>
      <c r="D213" s="18" t="s">
        <v>59</v>
      </c>
      <c r="E213" s="18" t="s">
        <v>60</v>
      </c>
      <c r="F213" s="19" t="s">
        <v>340</v>
      </c>
      <c r="G213" s="20">
        <v>45386</v>
      </c>
      <c r="H213" s="20">
        <v>45386</v>
      </c>
      <c r="I213" s="20">
        <v>45386</v>
      </c>
      <c r="J213" s="21">
        <v>0.5</v>
      </c>
      <c r="K213" s="18" t="s">
        <v>90</v>
      </c>
      <c r="L213" s="22">
        <v>2900000</v>
      </c>
      <c r="M213" s="23">
        <v>-136675.32999999999</v>
      </c>
      <c r="N213" s="23">
        <v>2763324.67</v>
      </c>
      <c r="O213" s="18" t="s">
        <v>22</v>
      </c>
    </row>
    <row r="214" spans="1:15" s="4" customFormat="1" ht="31.5" customHeight="1" x14ac:dyDescent="0.45">
      <c r="A214" s="18" t="s">
        <v>349</v>
      </c>
      <c r="B214" s="18" t="s">
        <v>57</v>
      </c>
      <c r="C214" s="18" t="s">
        <v>58</v>
      </c>
      <c r="D214" s="18" t="s">
        <v>59</v>
      </c>
      <c r="E214" s="18" t="s">
        <v>60</v>
      </c>
      <c r="F214" s="19" t="s">
        <v>350</v>
      </c>
      <c r="G214" s="20">
        <v>45386</v>
      </c>
      <c r="H214" s="20">
        <v>45386</v>
      </c>
      <c r="I214" s="20">
        <v>45386</v>
      </c>
      <c r="J214" s="21">
        <v>5.6</v>
      </c>
      <c r="K214" s="18" t="s">
        <v>90</v>
      </c>
      <c r="L214" s="22">
        <v>3640000</v>
      </c>
      <c r="M214" s="23">
        <v>-171551.11</v>
      </c>
      <c r="N214" s="23">
        <v>3468448.89</v>
      </c>
      <c r="O214" s="18" t="s">
        <v>102</v>
      </c>
    </row>
    <row r="215" spans="1:15" s="4" customFormat="1" ht="31.5" customHeight="1" x14ac:dyDescent="0.45">
      <c r="A215" s="18" t="s">
        <v>351</v>
      </c>
      <c r="B215" s="18" t="s">
        <v>57</v>
      </c>
      <c r="C215" s="18" t="s">
        <v>58</v>
      </c>
      <c r="D215" s="18" t="s">
        <v>59</v>
      </c>
      <c r="E215" s="18" t="s">
        <v>60</v>
      </c>
      <c r="F215" s="19" t="s">
        <v>352</v>
      </c>
      <c r="G215" s="20">
        <v>45386</v>
      </c>
      <c r="H215" s="20">
        <v>45386</v>
      </c>
      <c r="I215" s="20">
        <v>45386</v>
      </c>
      <c r="J215" s="21">
        <v>1</v>
      </c>
      <c r="K215" s="18" t="s">
        <v>90</v>
      </c>
      <c r="L215" s="22">
        <v>98000</v>
      </c>
      <c r="M215" s="23">
        <v>-4618.68</v>
      </c>
      <c r="N215" s="23">
        <v>93381.32</v>
      </c>
      <c r="O215" s="18" t="s">
        <v>22</v>
      </c>
    </row>
    <row r="216" spans="1:15" s="4" customFormat="1" ht="31.5" customHeight="1" x14ac:dyDescent="0.45">
      <c r="A216" s="18" t="s">
        <v>353</v>
      </c>
      <c r="B216" s="18" t="s">
        <v>57</v>
      </c>
      <c r="C216" s="18" t="s">
        <v>58</v>
      </c>
      <c r="D216" s="18" t="s">
        <v>59</v>
      </c>
      <c r="E216" s="18" t="s">
        <v>60</v>
      </c>
      <c r="F216" s="19" t="s">
        <v>354</v>
      </c>
      <c r="G216" s="20">
        <v>45386</v>
      </c>
      <c r="H216" s="20">
        <v>45386</v>
      </c>
      <c r="I216" s="20">
        <v>45386</v>
      </c>
      <c r="J216" s="21">
        <v>1</v>
      </c>
      <c r="K216" s="18" t="s">
        <v>90</v>
      </c>
      <c r="L216" s="22">
        <v>98000</v>
      </c>
      <c r="M216" s="23">
        <v>-4618.68</v>
      </c>
      <c r="N216" s="23">
        <v>93381.32</v>
      </c>
      <c r="O216" s="18" t="s">
        <v>22</v>
      </c>
    </row>
    <row r="217" spans="1:15" s="4" customFormat="1" ht="31.5" customHeight="1" x14ac:dyDescent="0.45">
      <c r="A217" s="18" t="s">
        <v>355</v>
      </c>
      <c r="B217" s="18" t="s">
        <v>57</v>
      </c>
      <c r="C217" s="18" t="s">
        <v>58</v>
      </c>
      <c r="D217" s="18" t="s">
        <v>59</v>
      </c>
      <c r="E217" s="18" t="s">
        <v>60</v>
      </c>
      <c r="F217" s="19" t="s">
        <v>356</v>
      </c>
      <c r="G217" s="20">
        <v>45386</v>
      </c>
      <c r="H217" s="20">
        <v>45386</v>
      </c>
      <c r="I217" s="20">
        <v>45386</v>
      </c>
      <c r="J217" s="21">
        <v>1</v>
      </c>
      <c r="K217" s="18" t="s">
        <v>90</v>
      </c>
      <c r="L217" s="22">
        <v>982500</v>
      </c>
      <c r="M217" s="23">
        <v>-46304.66</v>
      </c>
      <c r="N217" s="23">
        <v>936195.34</v>
      </c>
      <c r="O217" s="19" t="s">
        <v>22</v>
      </c>
    </row>
    <row r="218" spans="1:15" s="4" customFormat="1" ht="19.25" customHeight="1" x14ac:dyDescent="0.45">
      <c r="A218" s="18" t="s">
        <v>357</v>
      </c>
      <c r="B218" s="18" t="s">
        <v>57</v>
      </c>
      <c r="C218" s="18" t="s">
        <v>58</v>
      </c>
      <c r="D218" s="18" t="s">
        <v>59</v>
      </c>
      <c r="E218" s="18" t="s">
        <v>60</v>
      </c>
      <c r="F218" s="19" t="s">
        <v>358</v>
      </c>
      <c r="G218" s="20">
        <v>45386</v>
      </c>
      <c r="H218" s="20">
        <v>45386</v>
      </c>
      <c r="I218" s="20">
        <v>45386</v>
      </c>
      <c r="J218" s="21">
        <v>2</v>
      </c>
      <c r="K218" s="18" t="s">
        <v>90</v>
      </c>
      <c r="L218" s="22">
        <v>100000</v>
      </c>
      <c r="M218" s="23">
        <f>-7069.41*2/3</f>
        <v>-4712.9399999999996</v>
      </c>
      <c r="N218" s="23">
        <f>142930.59*2/3</f>
        <v>95287.06</v>
      </c>
      <c r="O218" s="19" t="s">
        <v>22</v>
      </c>
    </row>
    <row r="219" spans="1:15" s="4" customFormat="1" ht="19.25" customHeight="1" x14ac:dyDescent="0.45">
      <c r="A219" s="18" t="s">
        <v>359</v>
      </c>
      <c r="B219" s="18"/>
      <c r="C219" s="18"/>
      <c r="D219" s="18"/>
      <c r="E219" s="18" t="s">
        <v>60</v>
      </c>
      <c r="F219" s="19" t="s">
        <v>358</v>
      </c>
      <c r="G219" s="20">
        <v>45386</v>
      </c>
      <c r="H219" s="20"/>
      <c r="I219" s="20"/>
      <c r="J219" s="21">
        <v>1</v>
      </c>
      <c r="K219" s="18" t="s">
        <v>90</v>
      </c>
      <c r="L219" s="22">
        <v>50000</v>
      </c>
      <c r="M219" s="23">
        <f>-7069.41*1/3</f>
        <v>-2356.4699999999998</v>
      </c>
      <c r="N219" s="23">
        <f>142930.59*1/3</f>
        <v>47643.53</v>
      </c>
      <c r="O219" s="19" t="s">
        <v>102</v>
      </c>
    </row>
    <row r="220" spans="1:15" s="4" customFormat="1" ht="19.25" customHeight="1" x14ac:dyDescent="0.45">
      <c r="A220" s="18" t="s">
        <v>360</v>
      </c>
      <c r="B220" s="18" t="s">
        <v>57</v>
      </c>
      <c r="C220" s="18" t="s">
        <v>58</v>
      </c>
      <c r="D220" s="18" t="s">
        <v>59</v>
      </c>
      <c r="E220" s="18" t="s">
        <v>60</v>
      </c>
      <c r="F220" s="19" t="s">
        <v>361</v>
      </c>
      <c r="G220" s="20">
        <v>45386</v>
      </c>
      <c r="H220" s="20">
        <v>45386</v>
      </c>
      <c r="I220" s="20">
        <v>45386</v>
      </c>
      <c r="J220" s="21">
        <v>2</v>
      </c>
      <c r="K220" s="18" t="s">
        <v>90</v>
      </c>
      <c r="L220" s="22">
        <v>50000</v>
      </c>
      <c r="M220" s="23">
        <f>-3534.71*2/3</f>
        <v>-2356.4733333333334</v>
      </c>
      <c r="N220" s="23">
        <f>71465.29*2/3</f>
        <v>47643.526666666665</v>
      </c>
      <c r="O220" s="19" t="s">
        <v>22</v>
      </c>
    </row>
    <row r="221" spans="1:15" s="4" customFormat="1" ht="19.25" customHeight="1" x14ac:dyDescent="0.45">
      <c r="A221" s="18" t="s">
        <v>362</v>
      </c>
      <c r="B221" s="18"/>
      <c r="C221" s="18"/>
      <c r="D221" s="18"/>
      <c r="E221" s="18" t="s">
        <v>60</v>
      </c>
      <c r="F221" s="19" t="s">
        <v>361</v>
      </c>
      <c r="G221" s="20">
        <v>45386</v>
      </c>
      <c r="H221" s="20"/>
      <c r="I221" s="20"/>
      <c r="J221" s="21">
        <v>1</v>
      </c>
      <c r="K221" s="18" t="s">
        <v>90</v>
      </c>
      <c r="L221" s="22">
        <v>25000</v>
      </c>
      <c r="M221" s="23">
        <f>-3534.71*1/3</f>
        <v>-1178.2366666666667</v>
      </c>
      <c r="N221" s="23">
        <f>71465.29*1/3</f>
        <v>23821.763333333332</v>
      </c>
      <c r="O221" s="19" t="s">
        <v>102</v>
      </c>
    </row>
    <row r="222" spans="1:15" s="4" customFormat="1" ht="19.25" customHeight="1" x14ac:dyDescent="0.45">
      <c r="A222" s="18" t="s">
        <v>363</v>
      </c>
      <c r="B222" s="18" t="s">
        <v>57</v>
      </c>
      <c r="C222" s="18" t="s">
        <v>58</v>
      </c>
      <c r="D222" s="18" t="s">
        <v>59</v>
      </c>
      <c r="E222" s="18" t="s">
        <v>60</v>
      </c>
      <c r="F222" s="19" t="s">
        <v>364</v>
      </c>
      <c r="G222" s="20">
        <v>45386</v>
      </c>
      <c r="H222" s="20">
        <v>45386</v>
      </c>
      <c r="I222" s="20">
        <v>45386</v>
      </c>
      <c r="J222" s="21">
        <v>1</v>
      </c>
      <c r="K222" s="18" t="s">
        <v>90</v>
      </c>
      <c r="L222" s="22">
        <v>1250000</v>
      </c>
      <c r="M222" s="23">
        <v>-58911.78</v>
      </c>
      <c r="N222" s="23">
        <v>1191088.22</v>
      </c>
      <c r="O222" s="19" t="s">
        <v>22</v>
      </c>
    </row>
    <row r="223" spans="1:15" s="4" customFormat="1" ht="19.25" customHeight="1" x14ac:dyDescent="0.45">
      <c r="A223" s="18" t="s">
        <v>365</v>
      </c>
      <c r="B223" s="18" t="s">
        <v>57</v>
      </c>
      <c r="C223" s="18" t="s">
        <v>58</v>
      </c>
      <c r="D223" s="18" t="s">
        <v>59</v>
      </c>
      <c r="E223" s="18" t="s">
        <v>60</v>
      </c>
      <c r="F223" s="19" t="s">
        <v>366</v>
      </c>
      <c r="G223" s="20">
        <v>45386</v>
      </c>
      <c r="H223" s="20">
        <v>45386</v>
      </c>
      <c r="I223" s="20">
        <v>45386</v>
      </c>
      <c r="J223" s="21">
        <v>2</v>
      </c>
      <c r="K223" s="18" t="s">
        <v>90</v>
      </c>
      <c r="L223" s="22">
        <f>1920000*2/3</f>
        <v>1280000</v>
      </c>
      <c r="M223" s="23">
        <f>-90488.5*2/3</f>
        <v>-60325.666666666664</v>
      </c>
      <c r="N223" s="23">
        <f>1829511.5*2/3</f>
        <v>1219674.3333333333</v>
      </c>
      <c r="O223" s="18" t="s">
        <v>22</v>
      </c>
    </row>
    <row r="224" spans="1:15" s="4" customFormat="1" ht="19.25" customHeight="1" x14ac:dyDescent="0.45">
      <c r="A224" s="18" t="s">
        <v>367</v>
      </c>
      <c r="B224" s="18"/>
      <c r="C224" s="18"/>
      <c r="D224" s="18"/>
      <c r="E224" s="18" t="s">
        <v>60</v>
      </c>
      <c r="F224" s="19" t="s">
        <v>366</v>
      </c>
      <c r="G224" s="20">
        <v>45386</v>
      </c>
      <c r="H224" s="20"/>
      <c r="I224" s="20"/>
      <c r="J224" s="21">
        <v>1</v>
      </c>
      <c r="K224" s="18" t="s">
        <v>90</v>
      </c>
      <c r="L224" s="22">
        <f>1920000*1/3</f>
        <v>640000</v>
      </c>
      <c r="M224" s="23">
        <f>-90488.5*1/3</f>
        <v>-30162.833333333332</v>
      </c>
      <c r="N224" s="23">
        <f>1829511.5*1/3</f>
        <v>609837.16666666663</v>
      </c>
      <c r="O224" s="18" t="s">
        <v>102</v>
      </c>
    </row>
    <row r="225" spans="1:15" s="4" customFormat="1" ht="19.25" customHeight="1" x14ac:dyDescent="0.45">
      <c r="A225" s="18" t="s">
        <v>368</v>
      </c>
      <c r="B225" s="18" t="s">
        <v>57</v>
      </c>
      <c r="C225" s="18" t="s">
        <v>58</v>
      </c>
      <c r="D225" s="18" t="s">
        <v>59</v>
      </c>
      <c r="E225" s="18" t="s">
        <v>60</v>
      </c>
      <c r="F225" s="19" t="s">
        <v>369</v>
      </c>
      <c r="G225" s="20">
        <v>45386</v>
      </c>
      <c r="H225" s="20">
        <v>45386</v>
      </c>
      <c r="I225" s="20">
        <v>45386</v>
      </c>
      <c r="J225" s="21">
        <v>1</v>
      </c>
      <c r="K225" s="18" t="s">
        <v>90</v>
      </c>
      <c r="L225" s="22">
        <v>125000</v>
      </c>
      <c r="M225" s="23">
        <v>-5891.18</v>
      </c>
      <c r="N225" s="23">
        <v>119108.82</v>
      </c>
      <c r="O225" s="18" t="s">
        <v>22</v>
      </c>
    </row>
    <row r="226" spans="1:15" s="4" customFormat="1" ht="19.25" customHeight="1" x14ac:dyDescent="0.45">
      <c r="A226" s="18" t="s">
        <v>370</v>
      </c>
      <c r="B226" s="18" t="s">
        <v>57</v>
      </c>
      <c r="C226" s="18" t="s">
        <v>58</v>
      </c>
      <c r="D226" s="18" t="s">
        <v>59</v>
      </c>
      <c r="E226" s="18" t="s">
        <v>60</v>
      </c>
      <c r="F226" s="19" t="s">
        <v>343</v>
      </c>
      <c r="G226" s="20">
        <v>45386</v>
      </c>
      <c r="H226" s="20">
        <v>45386</v>
      </c>
      <c r="I226" s="20">
        <v>45386</v>
      </c>
      <c r="J226" s="21">
        <v>3</v>
      </c>
      <c r="K226" s="18" t="s">
        <v>90</v>
      </c>
      <c r="L226" s="22">
        <v>375000</v>
      </c>
      <c r="M226" s="23">
        <v>-17673.53</v>
      </c>
      <c r="N226" s="23">
        <v>357326.47</v>
      </c>
      <c r="O226" s="18" t="s">
        <v>22</v>
      </c>
    </row>
    <row r="227" spans="1:15" s="4" customFormat="1" ht="30.4" customHeight="1" x14ac:dyDescent="0.45">
      <c r="A227" s="18" t="s">
        <v>371</v>
      </c>
      <c r="B227" s="18" t="s">
        <v>57</v>
      </c>
      <c r="C227" s="18" t="s">
        <v>58</v>
      </c>
      <c r="D227" s="18" t="s">
        <v>59</v>
      </c>
      <c r="E227" s="18" t="s">
        <v>60</v>
      </c>
      <c r="F227" s="19" t="s">
        <v>372</v>
      </c>
      <c r="G227" s="20">
        <v>45386</v>
      </c>
      <c r="H227" s="20">
        <v>45386</v>
      </c>
      <c r="I227" s="20">
        <v>45386</v>
      </c>
      <c r="J227" s="21">
        <v>2</v>
      </c>
      <c r="K227" s="18" t="s">
        <v>90</v>
      </c>
      <c r="L227" s="22">
        <v>196000</v>
      </c>
      <c r="M227" s="23">
        <v>-9237.3700000000008</v>
      </c>
      <c r="N227" s="23">
        <v>186762.63</v>
      </c>
      <c r="O227" s="18" t="s">
        <v>22</v>
      </c>
    </row>
    <row r="228" spans="1:15" s="4" customFormat="1" ht="30.4" customHeight="1" x14ac:dyDescent="0.45">
      <c r="A228" s="18" t="s">
        <v>373</v>
      </c>
      <c r="B228" s="18" t="s">
        <v>57</v>
      </c>
      <c r="C228" s="18" t="s">
        <v>58</v>
      </c>
      <c r="D228" s="18" t="s">
        <v>59</v>
      </c>
      <c r="E228" s="18" t="s">
        <v>60</v>
      </c>
      <c r="F228" s="19" t="s">
        <v>374</v>
      </c>
      <c r="G228" s="20">
        <v>45386</v>
      </c>
      <c r="H228" s="20">
        <v>45386</v>
      </c>
      <c r="I228" s="20">
        <v>45386</v>
      </c>
      <c r="J228" s="21">
        <v>2</v>
      </c>
      <c r="K228" s="18" t="s">
        <v>90</v>
      </c>
      <c r="L228" s="22">
        <v>196000</v>
      </c>
      <c r="M228" s="23">
        <v>-9237.3700000000008</v>
      </c>
      <c r="N228" s="23">
        <v>186762.63</v>
      </c>
      <c r="O228" s="18" t="s">
        <v>22</v>
      </c>
    </row>
    <row r="229" spans="1:15" s="4" customFormat="1" ht="19.25" customHeight="1" x14ac:dyDescent="0.45">
      <c r="A229" s="18" t="s">
        <v>375</v>
      </c>
      <c r="B229" s="18" t="s">
        <v>57</v>
      </c>
      <c r="C229" s="18" t="s">
        <v>58</v>
      </c>
      <c r="D229" s="18" t="s">
        <v>59</v>
      </c>
      <c r="E229" s="18" t="s">
        <v>60</v>
      </c>
      <c r="F229" s="19" t="s">
        <v>345</v>
      </c>
      <c r="G229" s="20">
        <v>45386</v>
      </c>
      <c r="H229" s="20">
        <v>45386</v>
      </c>
      <c r="I229" s="20">
        <v>45386</v>
      </c>
      <c r="J229" s="21">
        <v>1</v>
      </c>
      <c r="K229" s="18" t="s">
        <v>90</v>
      </c>
      <c r="L229" s="22">
        <v>637500</v>
      </c>
      <c r="M229" s="23">
        <v>-30045.01</v>
      </c>
      <c r="N229" s="23">
        <v>607454.99</v>
      </c>
      <c r="O229" s="18" t="s">
        <v>102</v>
      </c>
    </row>
    <row r="230" spans="1:15" s="4" customFormat="1" ht="19.25" customHeight="1" x14ac:dyDescent="0.45">
      <c r="A230" s="18" t="s">
        <v>376</v>
      </c>
      <c r="B230" s="18" t="s">
        <v>78</v>
      </c>
      <c r="C230" s="18" t="s">
        <v>79</v>
      </c>
      <c r="D230" s="18" t="s">
        <v>80</v>
      </c>
      <c r="E230" s="18" t="s">
        <v>81</v>
      </c>
      <c r="F230" s="19" t="s">
        <v>377</v>
      </c>
      <c r="G230" s="20">
        <v>45386</v>
      </c>
      <c r="H230" s="20">
        <v>45386</v>
      </c>
      <c r="I230" s="20">
        <v>45386</v>
      </c>
      <c r="J230" s="21">
        <v>1</v>
      </c>
      <c r="K230" s="18" t="s">
        <v>90</v>
      </c>
      <c r="L230" s="22">
        <v>7000</v>
      </c>
      <c r="M230" s="23">
        <v>-329.91</v>
      </c>
      <c r="N230" s="23">
        <v>6670.09</v>
      </c>
      <c r="O230" s="18" t="s">
        <v>22</v>
      </c>
    </row>
    <row r="231" spans="1:15" s="4" customFormat="1" ht="19.25" customHeight="1" x14ac:dyDescent="0.45">
      <c r="A231" s="18" t="s">
        <v>378</v>
      </c>
      <c r="B231" s="18" t="s">
        <v>197</v>
      </c>
      <c r="C231" s="18" t="s">
        <v>198</v>
      </c>
      <c r="D231" s="18" t="s">
        <v>199</v>
      </c>
      <c r="E231" s="18" t="s">
        <v>200</v>
      </c>
      <c r="F231" s="19" t="s">
        <v>271</v>
      </c>
      <c r="G231" s="20">
        <v>45386</v>
      </c>
      <c r="H231" s="20">
        <v>45386</v>
      </c>
      <c r="I231" s="20">
        <v>45386</v>
      </c>
      <c r="J231" s="21">
        <v>1</v>
      </c>
      <c r="K231" s="18" t="s">
        <v>90</v>
      </c>
      <c r="L231" s="22">
        <v>325818</v>
      </c>
      <c r="M231" s="23">
        <v>-15355.61</v>
      </c>
      <c r="N231" s="23">
        <v>310462.39</v>
      </c>
      <c r="O231" s="18" t="s">
        <v>22</v>
      </c>
    </row>
    <row r="232" spans="1:15" s="4" customFormat="1" ht="19.25" customHeight="1" x14ac:dyDescent="0.45">
      <c r="A232" s="18" t="s">
        <v>379</v>
      </c>
      <c r="B232" s="18" t="s">
        <v>197</v>
      </c>
      <c r="C232" s="18" t="s">
        <v>198</v>
      </c>
      <c r="D232" s="18" t="s">
        <v>199</v>
      </c>
      <c r="E232" s="18" t="s">
        <v>200</v>
      </c>
      <c r="F232" s="19" t="s">
        <v>271</v>
      </c>
      <c r="G232" s="20">
        <v>45386</v>
      </c>
      <c r="H232" s="20">
        <v>45386</v>
      </c>
      <c r="I232" s="20">
        <v>45386</v>
      </c>
      <c r="J232" s="21">
        <v>3</v>
      </c>
      <c r="K232" s="18" t="s">
        <v>90</v>
      </c>
      <c r="L232" s="22">
        <v>24819</v>
      </c>
      <c r="M232" s="23">
        <v>-1169.71</v>
      </c>
      <c r="N232" s="23">
        <v>23649.29</v>
      </c>
      <c r="O232" s="18" t="s">
        <v>22</v>
      </c>
    </row>
    <row r="233" spans="1:15" s="4" customFormat="1" ht="19.25" customHeight="1" x14ac:dyDescent="0.45">
      <c r="A233" s="18" t="s">
        <v>380</v>
      </c>
      <c r="B233" s="18" t="s">
        <v>197</v>
      </c>
      <c r="C233" s="18" t="s">
        <v>198</v>
      </c>
      <c r="D233" s="18" t="s">
        <v>199</v>
      </c>
      <c r="E233" s="18" t="s">
        <v>200</v>
      </c>
      <c r="F233" s="19" t="s">
        <v>271</v>
      </c>
      <c r="G233" s="20">
        <v>45386</v>
      </c>
      <c r="H233" s="20">
        <v>45386</v>
      </c>
      <c r="I233" s="20">
        <v>45386</v>
      </c>
      <c r="J233" s="21">
        <v>25</v>
      </c>
      <c r="K233" s="18" t="s">
        <v>227</v>
      </c>
      <c r="L233" s="22">
        <v>38175</v>
      </c>
      <c r="M233" s="23">
        <v>-1799.17</v>
      </c>
      <c r="N233" s="23">
        <v>36375.83</v>
      </c>
      <c r="O233" s="18" t="s">
        <v>22</v>
      </c>
    </row>
    <row r="234" spans="1:15" s="4" customFormat="1" ht="19.25" customHeight="1" x14ac:dyDescent="0.45">
      <c r="A234" s="18" t="s">
        <v>381</v>
      </c>
      <c r="B234" s="18" t="s">
        <v>197</v>
      </c>
      <c r="C234" s="18" t="s">
        <v>198</v>
      </c>
      <c r="D234" s="18" t="s">
        <v>199</v>
      </c>
      <c r="E234" s="18" t="s">
        <v>200</v>
      </c>
      <c r="F234" s="19" t="s">
        <v>271</v>
      </c>
      <c r="G234" s="20">
        <v>45386</v>
      </c>
      <c r="H234" s="20">
        <v>45386</v>
      </c>
      <c r="I234" s="20">
        <v>45386</v>
      </c>
      <c r="J234" s="21">
        <v>10</v>
      </c>
      <c r="K234" s="18" t="s">
        <v>227</v>
      </c>
      <c r="L234" s="22">
        <v>10180</v>
      </c>
      <c r="M234" s="23">
        <v>-479.78</v>
      </c>
      <c r="N234" s="23">
        <v>9700.2199999999993</v>
      </c>
      <c r="O234" s="18" t="s">
        <v>22</v>
      </c>
    </row>
    <row r="235" spans="1:15" s="4" customFormat="1" ht="19.25" customHeight="1" x14ac:dyDescent="0.45">
      <c r="A235" s="18" t="s">
        <v>382</v>
      </c>
      <c r="B235" s="18" t="s">
        <v>197</v>
      </c>
      <c r="C235" s="18" t="s">
        <v>198</v>
      </c>
      <c r="D235" s="18" t="s">
        <v>199</v>
      </c>
      <c r="E235" s="18" t="s">
        <v>200</v>
      </c>
      <c r="F235" s="19" t="s">
        <v>271</v>
      </c>
      <c r="G235" s="20">
        <v>45386</v>
      </c>
      <c r="H235" s="20">
        <v>45386</v>
      </c>
      <c r="I235" s="20">
        <v>45386</v>
      </c>
      <c r="J235" s="21">
        <v>120</v>
      </c>
      <c r="K235" s="18" t="s">
        <v>227</v>
      </c>
      <c r="L235" s="22">
        <v>106920</v>
      </c>
      <c r="M235" s="23">
        <v>-5039.08</v>
      </c>
      <c r="N235" s="23">
        <v>101880.92</v>
      </c>
      <c r="O235" s="18" t="s">
        <v>22</v>
      </c>
    </row>
    <row r="236" spans="1:15" s="4" customFormat="1" ht="19.25" customHeight="1" x14ac:dyDescent="0.45">
      <c r="A236" s="18" t="s">
        <v>383</v>
      </c>
      <c r="B236" s="18" t="s">
        <v>197</v>
      </c>
      <c r="C236" s="18" t="s">
        <v>198</v>
      </c>
      <c r="D236" s="18" t="s">
        <v>199</v>
      </c>
      <c r="E236" s="18" t="s">
        <v>200</v>
      </c>
      <c r="F236" s="19" t="s">
        <v>271</v>
      </c>
      <c r="G236" s="20">
        <v>45386</v>
      </c>
      <c r="H236" s="20">
        <v>45386</v>
      </c>
      <c r="I236" s="20">
        <v>45386</v>
      </c>
      <c r="J236" s="21">
        <v>45</v>
      </c>
      <c r="K236" s="18" t="s">
        <v>227</v>
      </c>
      <c r="L236" s="22">
        <v>31500</v>
      </c>
      <c r="M236" s="23">
        <v>-1484.58</v>
      </c>
      <c r="N236" s="23">
        <v>30015.42</v>
      </c>
      <c r="O236" s="18" t="s">
        <v>22</v>
      </c>
    </row>
    <row r="237" spans="1:15" s="4" customFormat="1" ht="19.25" customHeight="1" x14ac:dyDescent="0.45">
      <c r="A237" s="18" t="s">
        <v>384</v>
      </c>
      <c r="B237" s="18" t="s">
        <v>197</v>
      </c>
      <c r="C237" s="18" t="s">
        <v>198</v>
      </c>
      <c r="D237" s="18" t="s">
        <v>199</v>
      </c>
      <c r="E237" s="18" t="s">
        <v>200</v>
      </c>
      <c r="F237" s="19" t="s">
        <v>271</v>
      </c>
      <c r="G237" s="20">
        <v>45386</v>
      </c>
      <c r="H237" s="20">
        <v>45386</v>
      </c>
      <c r="I237" s="20">
        <v>45386</v>
      </c>
      <c r="J237" s="21">
        <v>5</v>
      </c>
      <c r="K237" s="18" t="s">
        <v>227</v>
      </c>
      <c r="L237" s="22">
        <v>3180</v>
      </c>
      <c r="M237" s="23">
        <v>-149.87</v>
      </c>
      <c r="N237" s="23">
        <v>3030.13</v>
      </c>
      <c r="O237" s="18" t="s">
        <v>22</v>
      </c>
    </row>
    <row r="238" spans="1:15" s="4" customFormat="1" ht="19.25" customHeight="1" x14ac:dyDescent="0.45">
      <c r="A238" s="18" t="s">
        <v>385</v>
      </c>
      <c r="B238" s="18" t="s">
        <v>197</v>
      </c>
      <c r="C238" s="18" t="s">
        <v>198</v>
      </c>
      <c r="D238" s="18" t="s">
        <v>199</v>
      </c>
      <c r="E238" s="18" t="s">
        <v>200</v>
      </c>
      <c r="F238" s="19" t="s">
        <v>271</v>
      </c>
      <c r="G238" s="20">
        <v>45386</v>
      </c>
      <c r="H238" s="20">
        <v>45386</v>
      </c>
      <c r="I238" s="20">
        <v>45386</v>
      </c>
      <c r="J238" s="21">
        <v>15</v>
      </c>
      <c r="K238" s="18" t="s">
        <v>227</v>
      </c>
      <c r="L238" s="22">
        <v>10500</v>
      </c>
      <c r="M238" s="23">
        <v>-494.86</v>
      </c>
      <c r="N238" s="23">
        <v>10005.14</v>
      </c>
      <c r="O238" s="18" t="s">
        <v>22</v>
      </c>
    </row>
    <row r="239" spans="1:15" s="4" customFormat="1" ht="27.85" customHeight="1" x14ac:dyDescent="0.45">
      <c r="A239" s="18" t="s">
        <v>386</v>
      </c>
      <c r="B239" s="18" t="s">
        <v>197</v>
      </c>
      <c r="C239" s="18" t="s">
        <v>198</v>
      </c>
      <c r="D239" s="18" t="s">
        <v>199</v>
      </c>
      <c r="E239" s="18" t="s">
        <v>200</v>
      </c>
      <c r="F239" s="19" t="s">
        <v>867</v>
      </c>
      <c r="G239" s="20">
        <v>45386</v>
      </c>
      <c r="H239" s="20">
        <v>45386</v>
      </c>
      <c r="I239" s="20">
        <v>45386</v>
      </c>
      <c r="J239" s="21">
        <v>100</v>
      </c>
      <c r="K239" s="18" t="s">
        <v>227</v>
      </c>
      <c r="L239" s="22">
        <v>63600</v>
      </c>
      <c r="M239" s="23">
        <v>-2997.43</v>
      </c>
      <c r="N239" s="23">
        <v>60602.57</v>
      </c>
      <c r="O239" s="18" t="s">
        <v>22</v>
      </c>
    </row>
    <row r="240" spans="1:15" s="4" customFormat="1" ht="27.85" customHeight="1" x14ac:dyDescent="0.45">
      <c r="A240" s="18" t="s">
        <v>387</v>
      </c>
      <c r="B240" s="18" t="s">
        <v>197</v>
      </c>
      <c r="C240" s="18" t="s">
        <v>198</v>
      </c>
      <c r="D240" s="18" t="s">
        <v>199</v>
      </c>
      <c r="E240" s="18" t="s">
        <v>200</v>
      </c>
      <c r="F240" s="19" t="s">
        <v>868</v>
      </c>
      <c r="G240" s="20">
        <v>45386</v>
      </c>
      <c r="H240" s="20">
        <v>45386</v>
      </c>
      <c r="I240" s="20">
        <v>45386</v>
      </c>
      <c r="J240" s="21">
        <v>15</v>
      </c>
      <c r="K240" s="18" t="s">
        <v>227</v>
      </c>
      <c r="L240" s="22">
        <v>7635</v>
      </c>
      <c r="M240" s="23">
        <v>-359.83</v>
      </c>
      <c r="N240" s="23">
        <v>7275.17</v>
      </c>
      <c r="O240" s="18" t="s">
        <v>22</v>
      </c>
    </row>
    <row r="241" spans="1:15" s="4" customFormat="1" ht="19.25" customHeight="1" x14ac:dyDescent="0.45">
      <c r="A241" s="18" t="s">
        <v>388</v>
      </c>
      <c r="B241" s="18" t="s">
        <v>197</v>
      </c>
      <c r="C241" s="18" t="s">
        <v>198</v>
      </c>
      <c r="D241" s="18" t="s">
        <v>199</v>
      </c>
      <c r="E241" s="18" t="s">
        <v>200</v>
      </c>
      <c r="F241" s="19" t="s">
        <v>271</v>
      </c>
      <c r="G241" s="20">
        <v>45386</v>
      </c>
      <c r="H241" s="20">
        <v>45386</v>
      </c>
      <c r="I241" s="20">
        <v>45386</v>
      </c>
      <c r="J241" s="21">
        <v>150</v>
      </c>
      <c r="K241" s="18" t="s">
        <v>227</v>
      </c>
      <c r="L241" s="22">
        <v>137400</v>
      </c>
      <c r="M241" s="23">
        <v>-6475.58</v>
      </c>
      <c r="N241" s="23">
        <v>130924.42</v>
      </c>
      <c r="O241" s="18" t="s">
        <v>22</v>
      </c>
    </row>
    <row r="242" spans="1:15" s="4" customFormat="1" ht="19.25" customHeight="1" x14ac:dyDescent="0.45">
      <c r="A242" s="18" t="s">
        <v>389</v>
      </c>
      <c r="B242" s="18" t="s">
        <v>197</v>
      </c>
      <c r="C242" s="18" t="s">
        <v>198</v>
      </c>
      <c r="D242" s="18" t="s">
        <v>199</v>
      </c>
      <c r="E242" s="18" t="s">
        <v>200</v>
      </c>
      <c r="F242" s="19" t="s">
        <v>271</v>
      </c>
      <c r="G242" s="20">
        <v>45386</v>
      </c>
      <c r="H242" s="20">
        <v>45386</v>
      </c>
      <c r="I242" s="20">
        <v>45386</v>
      </c>
      <c r="J242" s="21">
        <v>14</v>
      </c>
      <c r="K242" s="18" t="s">
        <v>90</v>
      </c>
      <c r="L242" s="22">
        <v>247492</v>
      </c>
      <c r="M242" s="23">
        <v>-11664.16</v>
      </c>
      <c r="N242" s="23">
        <v>235827.84</v>
      </c>
      <c r="O242" s="18" t="s">
        <v>22</v>
      </c>
    </row>
    <row r="243" spans="1:15" s="4" customFormat="1" ht="19.25" customHeight="1" x14ac:dyDescent="0.45">
      <c r="A243" s="18" t="s">
        <v>390</v>
      </c>
      <c r="B243" s="18" t="s">
        <v>197</v>
      </c>
      <c r="C243" s="18" t="s">
        <v>198</v>
      </c>
      <c r="D243" s="18" t="s">
        <v>199</v>
      </c>
      <c r="E243" s="18" t="s">
        <v>200</v>
      </c>
      <c r="F243" s="19" t="s">
        <v>271</v>
      </c>
      <c r="G243" s="20">
        <v>45386</v>
      </c>
      <c r="H243" s="20">
        <v>45386</v>
      </c>
      <c r="I243" s="20">
        <v>45386</v>
      </c>
      <c r="J243" s="21">
        <v>1</v>
      </c>
      <c r="K243" s="18" t="s">
        <v>90</v>
      </c>
      <c r="L243" s="22">
        <v>239889.82</v>
      </c>
      <c r="M243" s="23">
        <v>-11305.87</v>
      </c>
      <c r="N243" s="23">
        <v>228583.95</v>
      </c>
      <c r="O243" s="18" t="s">
        <v>22</v>
      </c>
    </row>
    <row r="244" spans="1:15" s="4" customFormat="1" ht="19.25" customHeight="1" x14ac:dyDescent="0.45">
      <c r="A244" s="18" t="s">
        <v>391</v>
      </c>
      <c r="B244" s="18" t="s">
        <v>96</v>
      </c>
      <c r="C244" s="18" t="s">
        <v>97</v>
      </c>
      <c r="D244" s="18" t="s">
        <v>98</v>
      </c>
      <c r="E244" s="18" t="s">
        <v>99</v>
      </c>
      <c r="F244" s="19" t="s">
        <v>392</v>
      </c>
      <c r="G244" s="20">
        <v>45386</v>
      </c>
      <c r="H244" s="20">
        <v>45386</v>
      </c>
      <c r="I244" s="20">
        <v>45386</v>
      </c>
      <c r="J244" s="21">
        <v>10</v>
      </c>
      <c r="K244" s="18" t="s">
        <v>90</v>
      </c>
      <c r="L244" s="22">
        <v>50000</v>
      </c>
      <c r="M244" s="23">
        <v>-2356.4699999999998</v>
      </c>
      <c r="N244" s="23">
        <v>47643.53</v>
      </c>
      <c r="O244" s="18" t="s">
        <v>22</v>
      </c>
    </row>
    <row r="245" spans="1:15" s="4" customFormat="1" ht="19.25" customHeight="1" x14ac:dyDescent="0.45">
      <c r="A245" s="18" t="s">
        <v>393</v>
      </c>
      <c r="B245" s="18" t="s">
        <v>394</v>
      </c>
      <c r="C245" s="18" t="s">
        <v>395</v>
      </c>
      <c r="D245" s="18" t="s">
        <v>396</v>
      </c>
      <c r="E245" s="18" t="s">
        <v>397</v>
      </c>
      <c r="F245" s="19" t="s">
        <v>398</v>
      </c>
      <c r="G245" s="20">
        <v>45386</v>
      </c>
      <c r="H245" s="20">
        <v>45386</v>
      </c>
      <c r="I245" s="20">
        <v>45386</v>
      </c>
      <c r="J245" s="21">
        <v>0.5</v>
      </c>
      <c r="K245" s="18" t="s">
        <v>83</v>
      </c>
      <c r="L245" s="22">
        <v>17331200</v>
      </c>
      <c r="M245" s="23">
        <v>-816809.48</v>
      </c>
      <c r="N245" s="23">
        <v>16514390.52</v>
      </c>
      <c r="O245" s="18" t="s">
        <v>22</v>
      </c>
    </row>
    <row r="246" spans="1:15" s="4" customFormat="1" ht="29.35" customHeight="1" x14ac:dyDescent="0.45">
      <c r="A246" s="18" t="s">
        <v>399</v>
      </c>
      <c r="B246" s="18" t="s">
        <v>394</v>
      </c>
      <c r="C246" s="18" t="s">
        <v>395</v>
      </c>
      <c r="D246" s="18" t="s">
        <v>396</v>
      </c>
      <c r="E246" s="18" t="s">
        <v>397</v>
      </c>
      <c r="F246" s="19" t="s">
        <v>869</v>
      </c>
      <c r="G246" s="20">
        <v>45386</v>
      </c>
      <c r="H246" s="20">
        <v>45386</v>
      </c>
      <c r="I246" s="20">
        <v>45386</v>
      </c>
      <c r="J246" s="21">
        <v>1</v>
      </c>
      <c r="K246" s="18" t="s">
        <v>150</v>
      </c>
      <c r="L246" s="22">
        <v>1600642.38</v>
      </c>
      <c r="M246" s="23">
        <v>-75437.350000000006</v>
      </c>
      <c r="N246" s="23">
        <v>1525205.03</v>
      </c>
      <c r="O246" s="18" t="s">
        <v>22</v>
      </c>
    </row>
    <row r="247" spans="1:15" s="4" customFormat="1" ht="29.35" customHeight="1" x14ac:dyDescent="0.45">
      <c r="A247" s="18" t="s">
        <v>400</v>
      </c>
      <c r="B247" s="18" t="s">
        <v>394</v>
      </c>
      <c r="C247" s="18" t="s">
        <v>395</v>
      </c>
      <c r="D247" s="18" t="s">
        <v>396</v>
      </c>
      <c r="E247" s="18" t="s">
        <v>397</v>
      </c>
      <c r="F247" s="19" t="s">
        <v>870</v>
      </c>
      <c r="G247" s="20">
        <v>45386</v>
      </c>
      <c r="H247" s="20">
        <v>45386</v>
      </c>
      <c r="I247" s="20">
        <v>45386</v>
      </c>
      <c r="J247" s="21">
        <v>2</v>
      </c>
      <c r="K247" s="18" t="s">
        <v>150</v>
      </c>
      <c r="L247" s="22">
        <f>4801924.74*2/3</f>
        <v>3201283.16</v>
      </c>
      <c r="M247" s="23">
        <f>-226311.95*2/3</f>
        <v>-150874.63333333333</v>
      </c>
      <c r="N247" s="23">
        <f>4575612.79*2/3</f>
        <v>3050408.5266666668</v>
      </c>
      <c r="O247" s="18" t="s">
        <v>22</v>
      </c>
    </row>
    <row r="248" spans="1:15" s="4" customFormat="1" ht="29.35" customHeight="1" x14ac:dyDescent="0.45">
      <c r="A248" s="18" t="s">
        <v>401</v>
      </c>
      <c r="B248" s="18"/>
      <c r="C248" s="18"/>
      <c r="D248" s="18"/>
      <c r="E248" s="18" t="s">
        <v>397</v>
      </c>
      <c r="F248" s="19" t="s">
        <v>870</v>
      </c>
      <c r="G248" s="20">
        <v>45386</v>
      </c>
      <c r="H248" s="20"/>
      <c r="I248" s="20"/>
      <c r="J248" s="21">
        <v>1</v>
      </c>
      <c r="K248" s="18" t="s">
        <v>150</v>
      </c>
      <c r="L248" s="22">
        <f>4801924.74*1/3</f>
        <v>1600641.58</v>
      </c>
      <c r="M248" s="23">
        <f>-226311.95*1/3</f>
        <v>-75437.316666666666</v>
      </c>
      <c r="N248" s="23">
        <f>4575612.79*1/3</f>
        <v>1525204.2633333334</v>
      </c>
      <c r="O248" s="18" t="s">
        <v>102</v>
      </c>
    </row>
    <row r="249" spans="1:15" s="4" customFormat="1" ht="29.35" customHeight="1" x14ac:dyDescent="0.45">
      <c r="A249" s="18" t="s">
        <v>402</v>
      </c>
      <c r="B249" s="18" t="s">
        <v>394</v>
      </c>
      <c r="C249" s="18" t="s">
        <v>395</v>
      </c>
      <c r="D249" s="18" t="s">
        <v>396</v>
      </c>
      <c r="E249" s="18" t="s">
        <v>397</v>
      </c>
      <c r="F249" s="19" t="s">
        <v>870</v>
      </c>
      <c r="G249" s="20">
        <v>45386</v>
      </c>
      <c r="H249" s="20">
        <v>45386</v>
      </c>
      <c r="I249" s="20">
        <v>45386</v>
      </c>
      <c r="J249" s="21">
        <v>3</v>
      </c>
      <c r="K249" s="18" t="s">
        <v>150</v>
      </c>
      <c r="L249" s="22">
        <v>4801926</v>
      </c>
      <c r="M249" s="23">
        <v>-226312.01</v>
      </c>
      <c r="N249" s="23">
        <v>4575613.99</v>
      </c>
      <c r="O249" s="18" t="s">
        <v>102</v>
      </c>
    </row>
    <row r="250" spans="1:15" s="4" customFormat="1" ht="29.35" customHeight="1" x14ac:dyDescent="0.45">
      <c r="A250" s="18" t="s">
        <v>403</v>
      </c>
      <c r="B250" s="18" t="s">
        <v>394</v>
      </c>
      <c r="C250" s="18" t="s">
        <v>395</v>
      </c>
      <c r="D250" s="18" t="s">
        <v>396</v>
      </c>
      <c r="E250" s="18" t="s">
        <v>397</v>
      </c>
      <c r="F250" s="19" t="s">
        <v>870</v>
      </c>
      <c r="G250" s="20">
        <v>45386</v>
      </c>
      <c r="H250" s="20">
        <v>45386</v>
      </c>
      <c r="I250" s="20">
        <v>45386</v>
      </c>
      <c r="J250" s="21">
        <v>2</v>
      </c>
      <c r="K250" s="18" t="s">
        <v>150</v>
      </c>
      <c r="L250" s="22">
        <v>3201284</v>
      </c>
      <c r="M250" s="23">
        <v>-150874.67000000001</v>
      </c>
      <c r="N250" s="23">
        <v>3050409.33</v>
      </c>
      <c r="O250" s="18" t="s">
        <v>102</v>
      </c>
    </row>
    <row r="251" spans="1:15" s="4" customFormat="1" ht="29.35" customHeight="1" x14ac:dyDescent="0.45">
      <c r="A251" s="18" t="s">
        <v>404</v>
      </c>
      <c r="B251" s="18" t="s">
        <v>394</v>
      </c>
      <c r="C251" s="18" t="s">
        <v>395</v>
      </c>
      <c r="D251" s="18" t="s">
        <v>396</v>
      </c>
      <c r="E251" s="18" t="s">
        <v>397</v>
      </c>
      <c r="F251" s="19" t="s">
        <v>871</v>
      </c>
      <c r="G251" s="20">
        <v>45386</v>
      </c>
      <c r="H251" s="20">
        <v>45386</v>
      </c>
      <c r="I251" s="20">
        <v>45386</v>
      </c>
      <c r="J251" s="21">
        <v>2</v>
      </c>
      <c r="K251" s="18" t="s">
        <v>150</v>
      </c>
      <c r="L251" s="22">
        <v>3201284.74</v>
      </c>
      <c r="M251" s="23">
        <v>-150874.71</v>
      </c>
      <c r="N251" s="23">
        <v>3050410.03</v>
      </c>
      <c r="O251" s="18" t="s">
        <v>22</v>
      </c>
    </row>
    <row r="252" spans="1:15" s="4" customFormat="1" ht="19.25" customHeight="1" x14ac:dyDescent="0.45">
      <c r="A252" s="18" t="s">
        <v>405</v>
      </c>
      <c r="B252" s="18" t="s">
        <v>394</v>
      </c>
      <c r="C252" s="18" t="s">
        <v>395</v>
      </c>
      <c r="D252" s="18" t="s">
        <v>396</v>
      </c>
      <c r="E252" s="18" t="s">
        <v>397</v>
      </c>
      <c r="F252" s="19" t="s">
        <v>406</v>
      </c>
      <c r="G252" s="20">
        <v>45386</v>
      </c>
      <c r="H252" s="20">
        <v>45386</v>
      </c>
      <c r="I252" s="20">
        <v>45386</v>
      </c>
      <c r="J252" s="21">
        <f>5/11</f>
        <v>0.45454545454545453</v>
      </c>
      <c r="K252" s="18" t="s">
        <v>227</v>
      </c>
      <c r="L252" s="22">
        <f>12880400*J252</f>
        <v>5854727.2727272725</v>
      </c>
      <c r="M252" s="23">
        <f>-607045.84*J252</f>
        <v>-275929.92727272725</v>
      </c>
      <c r="N252" s="23">
        <f>12273354.16*J252</f>
        <v>5578797.3454545457</v>
      </c>
      <c r="O252" s="18" t="s">
        <v>22</v>
      </c>
    </row>
    <row r="253" spans="1:15" s="4" customFormat="1" ht="19.25" customHeight="1" x14ac:dyDescent="0.45">
      <c r="A253" s="18" t="s">
        <v>407</v>
      </c>
      <c r="B253" s="18"/>
      <c r="C253" s="18"/>
      <c r="D253" s="18"/>
      <c r="E253" s="18" t="s">
        <v>397</v>
      </c>
      <c r="F253" s="19" t="s">
        <v>406</v>
      </c>
      <c r="G253" s="20">
        <v>45386</v>
      </c>
      <c r="H253" s="20"/>
      <c r="I253" s="20"/>
      <c r="J253" s="21">
        <f>1/11</f>
        <v>9.0909090909090912E-2</v>
      </c>
      <c r="K253" s="18" t="s">
        <v>227</v>
      </c>
      <c r="L253" s="22">
        <f>12880400*J253</f>
        <v>1170945.4545454546</v>
      </c>
      <c r="M253" s="23">
        <f>-607045.84*J253</f>
        <v>-55185.985454545451</v>
      </c>
      <c r="N253" s="23">
        <f>12273354.16*J253</f>
        <v>1115759.4690909092</v>
      </c>
      <c r="O253" s="18" t="s">
        <v>102</v>
      </c>
    </row>
    <row r="254" spans="1:15" s="4" customFormat="1" ht="19.25" customHeight="1" x14ac:dyDescent="0.45">
      <c r="A254" s="18" t="s">
        <v>408</v>
      </c>
      <c r="B254" s="18"/>
      <c r="C254" s="18"/>
      <c r="D254" s="18"/>
      <c r="E254" s="18" t="s">
        <v>397</v>
      </c>
      <c r="F254" s="19" t="s">
        <v>406</v>
      </c>
      <c r="G254" s="20">
        <v>45386</v>
      </c>
      <c r="H254" s="20"/>
      <c r="I254" s="20"/>
      <c r="J254" s="21">
        <f>5/11</f>
        <v>0.45454545454545453</v>
      </c>
      <c r="K254" s="18" t="s">
        <v>227</v>
      </c>
      <c r="L254" s="22">
        <f>12880400*J254</f>
        <v>5854727.2727272725</v>
      </c>
      <c r="M254" s="23">
        <f>-607045.84*J254</f>
        <v>-275929.92727272725</v>
      </c>
      <c r="N254" s="23">
        <f>12273354.16*J254</f>
        <v>5578797.3454545457</v>
      </c>
      <c r="O254" s="18" t="s">
        <v>102</v>
      </c>
    </row>
    <row r="255" spans="1:15" s="4" customFormat="1" ht="19.25" customHeight="1" x14ac:dyDescent="0.45">
      <c r="A255" s="18" t="s">
        <v>409</v>
      </c>
      <c r="B255" s="18" t="s">
        <v>394</v>
      </c>
      <c r="C255" s="18" t="s">
        <v>395</v>
      </c>
      <c r="D255" s="18" t="s">
        <v>396</v>
      </c>
      <c r="E255" s="18" t="s">
        <v>397</v>
      </c>
      <c r="F255" s="19" t="s">
        <v>398</v>
      </c>
      <c r="G255" s="20">
        <v>45386</v>
      </c>
      <c r="H255" s="20">
        <v>45386</v>
      </c>
      <c r="I255" s="20">
        <v>45386</v>
      </c>
      <c r="J255" s="21">
        <v>0.5</v>
      </c>
      <c r="K255" s="18" t="s">
        <v>83</v>
      </c>
      <c r="L255" s="22">
        <v>17331200</v>
      </c>
      <c r="M255" s="23">
        <v>-816809.48</v>
      </c>
      <c r="N255" s="23">
        <v>16514390.52</v>
      </c>
      <c r="O255" s="19" t="s">
        <v>102</v>
      </c>
    </row>
    <row r="256" spans="1:15" s="4" customFormat="1" ht="19.25" customHeight="1" x14ac:dyDescent="0.45">
      <c r="A256" s="18" t="s">
        <v>410</v>
      </c>
      <c r="B256" s="18" t="s">
        <v>394</v>
      </c>
      <c r="C256" s="18" t="s">
        <v>395</v>
      </c>
      <c r="D256" s="18" t="s">
        <v>396</v>
      </c>
      <c r="E256" s="18" t="s">
        <v>397</v>
      </c>
      <c r="F256" s="19" t="s">
        <v>411</v>
      </c>
      <c r="G256" s="20">
        <v>45386</v>
      </c>
      <c r="H256" s="20">
        <v>45386</v>
      </c>
      <c r="I256" s="20">
        <v>45386</v>
      </c>
      <c r="J256" s="21">
        <v>5</v>
      </c>
      <c r="K256" s="18" t="s">
        <v>21</v>
      </c>
      <c r="L256" s="22">
        <f>1232000*5/11</f>
        <v>560000</v>
      </c>
      <c r="M256" s="23">
        <f>-58063.45*5/11</f>
        <v>-26392.477272727272</v>
      </c>
      <c r="N256" s="23">
        <f>1173936.55*5/11</f>
        <v>533607.52272727271</v>
      </c>
      <c r="O256" s="18" t="s">
        <v>22</v>
      </c>
    </row>
    <row r="257" spans="1:15" s="4" customFormat="1" ht="19.25" customHeight="1" x14ac:dyDescent="0.45">
      <c r="A257" s="18" t="s">
        <v>412</v>
      </c>
      <c r="B257" s="18"/>
      <c r="C257" s="18"/>
      <c r="D257" s="18"/>
      <c r="E257" s="18" t="s">
        <v>397</v>
      </c>
      <c r="F257" s="19" t="s">
        <v>411</v>
      </c>
      <c r="G257" s="20">
        <v>45386</v>
      </c>
      <c r="H257" s="20"/>
      <c r="I257" s="20"/>
      <c r="J257" s="21">
        <v>1</v>
      </c>
      <c r="K257" s="18" t="s">
        <v>21</v>
      </c>
      <c r="L257" s="22">
        <f>1232000*1/11</f>
        <v>112000</v>
      </c>
      <c r="M257" s="23">
        <f>-58063.45*1/11</f>
        <v>-5278.4954545454539</v>
      </c>
      <c r="N257" s="23">
        <f>1173936.55*1/11</f>
        <v>106721.50454545455</v>
      </c>
      <c r="O257" s="18" t="s">
        <v>102</v>
      </c>
    </row>
    <row r="258" spans="1:15" s="4" customFormat="1" ht="19.25" customHeight="1" x14ac:dyDescent="0.45">
      <c r="A258" s="18" t="s">
        <v>413</v>
      </c>
      <c r="B258" s="18"/>
      <c r="C258" s="18"/>
      <c r="D258" s="18"/>
      <c r="E258" s="18" t="s">
        <v>397</v>
      </c>
      <c r="F258" s="19" t="s">
        <v>411</v>
      </c>
      <c r="G258" s="20">
        <v>45386</v>
      </c>
      <c r="H258" s="20"/>
      <c r="I258" s="20"/>
      <c r="J258" s="21">
        <v>5</v>
      </c>
      <c r="K258" s="18" t="s">
        <v>21</v>
      </c>
      <c r="L258" s="22">
        <f>1232000*5/11</f>
        <v>560000</v>
      </c>
      <c r="M258" s="23">
        <f>-58063.45*5/11</f>
        <v>-26392.477272727272</v>
      </c>
      <c r="N258" s="23">
        <f>1173936.55*5/11</f>
        <v>533607.52272727271</v>
      </c>
      <c r="O258" s="18" t="s">
        <v>102</v>
      </c>
    </row>
    <row r="259" spans="1:15" s="4" customFormat="1" ht="19.25" customHeight="1" x14ac:dyDescent="0.45">
      <c r="A259" s="18" t="s">
        <v>414</v>
      </c>
      <c r="B259" s="18" t="s">
        <v>394</v>
      </c>
      <c r="C259" s="18" t="s">
        <v>395</v>
      </c>
      <c r="D259" s="18" t="s">
        <v>396</v>
      </c>
      <c r="E259" s="18" t="s">
        <v>397</v>
      </c>
      <c r="F259" s="19" t="s">
        <v>415</v>
      </c>
      <c r="G259" s="20">
        <v>45386</v>
      </c>
      <c r="H259" s="20">
        <v>45386</v>
      </c>
      <c r="I259" s="20">
        <v>45386</v>
      </c>
      <c r="J259" s="21">
        <v>5</v>
      </c>
      <c r="K259" s="18" t="s">
        <v>21</v>
      </c>
      <c r="L259" s="22">
        <f>1213300*5/11</f>
        <v>551500</v>
      </c>
      <c r="M259" s="23">
        <f>-57182.13*5/11</f>
        <v>-25991.87727272727</v>
      </c>
      <c r="N259" s="23">
        <f>1156117.87*5/11</f>
        <v>525508.1227272728</v>
      </c>
      <c r="O259" s="18" t="s">
        <v>22</v>
      </c>
    </row>
    <row r="260" spans="1:15" s="4" customFormat="1" ht="19.25" customHeight="1" x14ac:dyDescent="0.45">
      <c r="A260" s="18" t="s">
        <v>416</v>
      </c>
      <c r="B260" s="18"/>
      <c r="C260" s="18"/>
      <c r="D260" s="18"/>
      <c r="E260" s="18" t="s">
        <v>397</v>
      </c>
      <c r="F260" s="19" t="s">
        <v>415</v>
      </c>
      <c r="G260" s="20">
        <v>45386</v>
      </c>
      <c r="H260" s="20"/>
      <c r="I260" s="20"/>
      <c r="J260" s="21">
        <v>1</v>
      </c>
      <c r="K260" s="18" t="s">
        <v>21</v>
      </c>
      <c r="L260" s="22">
        <f>1213300*1/11</f>
        <v>110300</v>
      </c>
      <c r="M260" s="23">
        <f>-57182.13*1/11</f>
        <v>-5198.375454545454</v>
      </c>
      <c r="N260" s="23">
        <f>1156117.87*1/11</f>
        <v>105101.62454545456</v>
      </c>
      <c r="O260" s="18" t="s">
        <v>102</v>
      </c>
    </row>
    <row r="261" spans="1:15" s="4" customFormat="1" ht="19.25" customHeight="1" x14ac:dyDescent="0.45">
      <c r="A261" s="18" t="s">
        <v>417</v>
      </c>
      <c r="B261" s="18"/>
      <c r="C261" s="18"/>
      <c r="D261" s="18"/>
      <c r="E261" s="18" t="s">
        <v>397</v>
      </c>
      <c r="F261" s="19" t="s">
        <v>415</v>
      </c>
      <c r="G261" s="20">
        <v>45386</v>
      </c>
      <c r="H261" s="20"/>
      <c r="I261" s="20"/>
      <c r="J261" s="21">
        <v>5</v>
      </c>
      <c r="K261" s="18" t="s">
        <v>21</v>
      </c>
      <c r="L261" s="22">
        <f>1213300*5/11</f>
        <v>551500</v>
      </c>
      <c r="M261" s="23">
        <f>-57182.13*5/11</f>
        <v>-25991.87727272727</v>
      </c>
      <c r="N261" s="23">
        <f>1156117.87*5/11</f>
        <v>525508.1227272728</v>
      </c>
      <c r="O261" s="18" t="s">
        <v>102</v>
      </c>
    </row>
    <row r="262" spans="1:15" s="4" customFormat="1" ht="26.75" customHeight="1" x14ac:dyDescent="0.45">
      <c r="A262" s="18" t="s">
        <v>418</v>
      </c>
      <c r="B262" s="18" t="s">
        <v>394</v>
      </c>
      <c r="C262" s="18" t="s">
        <v>395</v>
      </c>
      <c r="D262" s="18" t="s">
        <v>396</v>
      </c>
      <c r="E262" s="18" t="s">
        <v>397</v>
      </c>
      <c r="F262" s="19" t="s">
        <v>872</v>
      </c>
      <c r="G262" s="20">
        <v>45386</v>
      </c>
      <c r="H262" s="20">
        <v>45386</v>
      </c>
      <c r="I262" s="20">
        <v>45386</v>
      </c>
      <c r="J262" s="21">
        <v>4</v>
      </c>
      <c r="K262" s="18" t="s">
        <v>21</v>
      </c>
      <c r="L262" s="22">
        <v>216000</v>
      </c>
      <c r="M262" s="23">
        <v>-10179.959999999999</v>
      </c>
      <c r="N262" s="23">
        <v>205820.04</v>
      </c>
      <c r="O262" s="18" t="s">
        <v>22</v>
      </c>
    </row>
    <row r="263" spans="1:15" s="4" customFormat="1" ht="19.25" customHeight="1" x14ac:dyDescent="0.45">
      <c r="A263" s="18" t="s">
        <v>419</v>
      </c>
      <c r="B263" s="18" t="s">
        <v>394</v>
      </c>
      <c r="C263" s="18" t="s">
        <v>395</v>
      </c>
      <c r="D263" s="18" t="s">
        <v>396</v>
      </c>
      <c r="E263" s="18" t="s">
        <v>397</v>
      </c>
      <c r="F263" s="19" t="s">
        <v>873</v>
      </c>
      <c r="G263" s="20">
        <v>45386</v>
      </c>
      <c r="H263" s="20">
        <v>45386</v>
      </c>
      <c r="I263" s="20">
        <v>45386</v>
      </c>
      <c r="J263" s="21">
        <v>5</v>
      </c>
      <c r="K263" s="18" t="s">
        <v>21</v>
      </c>
      <c r="L263" s="22">
        <f>594000*5/11</f>
        <v>270000</v>
      </c>
      <c r="M263" s="23">
        <f>-27994.88*5/11</f>
        <v>-12724.945454545454</v>
      </c>
      <c r="N263" s="23">
        <f>566005.12*5/11</f>
        <v>257275.05454545456</v>
      </c>
      <c r="O263" s="18" t="s">
        <v>22</v>
      </c>
    </row>
    <row r="264" spans="1:15" s="4" customFormat="1" ht="19.25" customHeight="1" x14ac:dyDescent="0.45">
      <c r="A264" s="18" t="s">
        <v>420</v>
      </c>
      <c r="B264" s="18"/>
      <c r="C264" s="18"/>
      <c r="D264" s="18"/>
      <c r="E264" s="18" t="s">
        <v>397</v>
      </c>
      <c r="F264" s="19" t="s">
        <v>873</v>
      </c>
      <c r="G264" s="20">
        <v>45386</v>
      </c>
      <c r="H264" s="20"/>
      <c r="I264" s="20"/>
      <c r="J264" s="21">
        <v>1</v>
      </c>
      <c r="K264" s="18" t="s">
        <v>21</v>
      </c>
      <c r="L264" s="22">
        <f>594000*1/11</f>
        <v>54000</v>
      </c>
      <c r="M264" s="23">
        <f>-27994.88*1/11</f>
        <v>-2544.9890909090909</v>
      </c>
      <c r="N264" s="23">
        <f>566005.12*1/11</f>
        <v>51455.01090909091</v>
      </c>
      <c r="O264" s="18" t="s">
        <v>102</v>
      </c>
    </row>
    <row r="265" spans="1:15" s="4" customFormat="1" ht="19.25" customHeight="1" x14ac:dyDescent="0.45">
      <c r="A265" s="18" t="s">
        <v>421</v>
      </c>
      <c r="B265" s="18"/>
      <c r="C265" s="18"/>
      <c r="D265" s="18"/>
      <c r="E265" s="18" t="s">
        <v>397</v>
      </c>
      <c r="F265" s="19" t="s">
        <v>873</v>
      </c>
      <c r="G265" s="20">
        <v>45386</v>
      </c>
      <c r="H265" s="20"/>
      <c r="I265" s="20"/>
      <c r="J265" s="21">
        <v>5</v>
      </c>
      <c r="K265" s="18" t="s">
        <v>21</v>
      </c>
      <c r="L265" s="22">
        <f>594000*5/11</f>
        <v>270000</v>
      </c>
      <c r="M265" s="23">
        <f>-27994.88*5/11</f>
        <v>-12724.945454545454</v>
      </c>
      <c r="N265" s="23">
        <f>566005.12*5/11</f>
        <v>257275.05454545456</v>
      </c>
      <c r="O265" s="18" t="s">
        <v>102</v>
      </c>
    </row>
    <row r="266" spans="1:15" s="4" customFormat="1" ht="19.25" customHeight="1" x14ac:dyDescent="0.45">
      <c r="A266" s="18" t="s">
        <v>422</v>
      </c>
      <c r="B266" s="18" t="s">
        <v>423</v>
      </c>
      <c r="C266" s="18" t="s">
        <v>424</v>
      </c>
      <c r="D266" s="18" t="s">
        <v>425</v>
      </c>
      <c r="E266" s="18" t="s">
        <v>426</v>
      </c>
      <c r="F266" s="19" t="s">
        <v>427</v>
      </c>
      <c r="G266" s="20">
        <v>45386</v>
      </c>
      <c r="H266" s="20">
        <v>45386</v>
      </c>
      <c r="I266" s="20">
        <v>45386</v>
      </c>
      <c r="J266" s="21">
        <v>0.28000000000000003</v>
      </c>
      <c r="K266" s="18" t="s">
        <v>276</v>
      </c>
      <c r="L266" s="22">
        <v>343294</v>
      </c>
      <c r="M266" s="23">
        <v>-10234.6</v>
      </c>
      <c r="N266" s="23">
        <v>333059.40000000002</v>
      </c>
      <c r="O266" s="19" t="s">
        <v>22</v>
      </c>
    </row>
    <row r="267" spans="1:15" s="4" customFormat="1" ht="19.25" customHeight="1" x14ac:dyDescent="0.45">
      <c r="A267" s="18" t="s">
        <v>428</v>
      </c>
      <c r="B267" s="18" t="s">
        <v>423</v>
      </c>
      <c r="C267" s="18" t="s">
        <v>424</v>
      </c>
      <c r="D267" s="18" t="s">
        <v>425</v>
      </c>
      <c r="E267" s="18" t="s">
        <v>426</v>
      </c>
      <c r="F267" s="19" t="s">
        <v>427</v>
      </c>
      <c r="G267" s="20">
        <v>45386</v>
      </c>
      <c r="H267" s="20">
        <v>45386</v>
      </c>
      <c r="I267" s="20">
        <v>45386</v>
      </c>
      <c r="J267" s="21">
        <v>0.11</v>
      </c>
      <c r="K267" s="18" t="s">
        <v>276</v>
      </c>
      <c r="L267" s="22">
        <v>789593.98</v>
      </c>
      <c r="M267" s="23">
        <v>-23540.11</v>
      </c>
      <c r="N267" s="23">
        <v>766053.87</v>
      </c>
      <c r="O267" s="19" t="s">
        <v>22</v>
      </c>
    </row>
    <row r="268" spans="1:15" s="4" customFormat="1" ht="19.25" customHeight="1" x14ac:dyDescent="0.45">
      <c r="A268" s="18" t="s">
        <v>429</v>
      </c>
      <c r="B268" s="18" t="s">
        <v>423</v>
      </c>
      <c r="C268" s="18" t="s">
        <v>424</v>
      </c>
      <c r="D268" s="18" t="s">
        <v>425</v>
      </c>
      <c r="E268" s="18" t="s">
        <v>426</v>
      </c>
      <c r="F268" s="19" t="s">
        <v>427</v>
      </c>
      <c r="G268" s="20">
        <v>45386</v>
      </c>
      <c r="H268" s="20">
        <v>45386</v>
      </c>
      <c r="I268" s="20">
        <v>45386</v>
      </c>
      <c r="J268" s="21">
        <v>0.11</v>
      </c>
      <c r="K268" s="18" t="s">
        <v>276</v>
      </c>
      <c r="L268" s="22">
        <v>284308.2</v>
      </c>
      <c r="M268" s="23">
        <v>-8476.06</v>
      </c>
      <c r="N268" s="23">
        <v>275832.14</v>
      </c>
      <c r="O268" s="19" t="s">
        <v>22</v>
      </c>
    </row>
    <row r="269" spans="1:15" s="4" customFormat="1" ht="19.25" customHeight="1" x14ac:dyDescent="0.45">
      <c r="A269" s="18" t="s">
        <v>430</v>
      </c>
      <c r="B269" s="18" t="s">
        <v>423</v>
      </c>
      <c r="C269" s="18" t="s">
        <v>424</v>
      </c>
      <c r="D269" s="18" t="s">
        <v>425</v>
      </c>
      <c r="E269" s="18" t="s">
        <v>426</v>
      </c>
      <c r="F269" s="19" t="s">
        <v>427</v>
      </c>
      <c r="G269" s="20">
        <v>45386</v>
      </c>
      <c r="H269" s="20">
        <v>45386</v>
      </c>
      <c r="I269" s="20">
        <v>45386</v>
      </c>
      <c r="J269" s="21">
        <v>0.15</v>
      </c>
      <c r="K269" s="18" t="s">
        <v>276</v>
      </c>
      <c r="L269" s="22">
        <v>888858</v>
      </c>
      <c r="M269" s="23">
        <v>-26499.46</v>
      </c>
      <c r="N269" s="23">
        <v>862358.54</v>
      </c>
      <c r="O269" s="19" t="s">
        <v>22</v>
      </c>
    </row>
    <row r="270" spans="1:15" s="4" customFormat="1" ht="19.25" customHeight="1" x14ac:dyDescent="0.45">
      <c r="A270" s="18" t="s">
        <v>431</v>
      </c>
      <c r="B270" s="18" t="s">
        <v>423</v>
      </c>
      <c r="C270" s="18" t="s">
        <v>424</v>
      </c>
      <c r="D270" s="18" t="s">
        <v>425</v>
      </c>
      <c r="E270" s="18" t="s">
        <v>426</v>
      </c>
      <c r="F270" s="19" t="s">
        <v>432</v>
      </c>
      <c r="G270" s="20">
        <v>45386</v>
      </c>
      <c r="H270" s="20">
        <v>45386</v>
      </c>
      <c r="I270" s="20">
        <v>45386</v>
      </c>
      <c r="J270" s="21">
        <v>0.34</v>
      </c>
      <c r="K270" s="18" t="s">
        <v>276</v>
      </c>
      <c r="L270" s="22">
        <v>2404681.4900000002</v>
      </c>
      <c r="M270" s="23">
        <v>-71690.600000000006</v>
      </c>
      <c r="N270" s="23">
        <v>2332990.89</v>
      </c>
      <c r="O270" s="19" t="s">
        <v>22</v>
      </c>
    </row>
    <row r="271" spans="1:15" s="4" customFormat="1" ht="19.25" customHeight="1" x14ac:dyDescent="0.45">
      <c r="A271" s="18" t="s">
        <v>433</v>
      </c>
      <c r="B271" s="18" t="s">
        <v>423</v>
      </c>
      <c r="C271" s="18" t="s">
        <v>424</v>
      </c>
      <c r="D271" s="18" t="s">
        <v>425</v>
      </c>
      <c r="E271" s="18" t="s">
        <v>426</v>
      </c>
      <c r="F271" s="19" t="s">
        <v>432</v>
      </c>
      <c r="G271" s="20">
        <v>45386</v>
      </c>
      <c r="H271" s="20">
        <v>45386</v>
      </c>
      <c r="I271" s="20">
        <v>45386</v>
      </c>
      <c r="J271" s="21">
        <v>0.56999999999999995</v>
      </c>
      <c r="K271" s="18" t="s">
        <v>276</v>
      </c>
      <c r="L271" s="22">
        <v>1473227.07</v>
      </c>
      <c r="M271" s="23">
        <v>-43921.22</v>
      </c>
      <c r="N271" s="23">
        <v>1429305.85</v>
      </c>
      <c r="O271" s="19" t="s">
        <v>22</v>
      </c>
    </row>
    <row r="272" spans="1:15" s="4" customFormat="1" ht="19.25" customHeight="1" x14ac:dyDescent="0.45">
      <c r="A272" s="18" t="s">
        <v>434</v>
      </c>
      <c r="B272" s="18" t="s">
        <v>423</v>
      </c>
      <c r="C272" s="18" t="s">
        <v>424</v>
      </c>
      <c r="D272" s="18" t="s">
        <v>425</v>
      </c>
      <c r="E272" s="18" t="s">
        <v>426</v>
      </c>
      <c r="F272" s="19" t="s">
        <v>432</v>
      </c>
      <c r="G272" s="20">
        <v>45386</v>
      </c>
      <c r="H272" s="20">
        <v>45386</v>
      </c>
      <c r="I272" s="20">
        <v>45386</v>
      </c>
      <c r="J272" s="21">
        <v>0.41</v>
      </c>
      <c r="K272" s="18" t="s">
        <v>276</v>
      </c>
      <c r="L272" s="22">
        <v>2501205</v>
      </c>
      <c r="M272" s="23">
        <v>-74568.25</v>
      </c>
      <c r="N272" s="23">
        <v>2426636.75</v>
      </c>
      <c r="O272" s="19" t="s">
        <v>22</v>
      </c>
    </row>
    <row r="273" spans="1:15" s="4" customFormat="1" ht="19.25" customHeight="1" x14ac:dyDescent="0.45">
      <c r="A273" s="18" t="s">
        <v>435</v>
      </c>
      <c r="B273" s="18" t="s">
        <v>394</v>
      </c>
      <c r="C273" s="18" t="s">
        <v>395</v>
      </c>
      <c r="D273" s="18" t="s">
        <v>396</v>
      </c>
      <c r="E273" s="18" t="s">
        <v>397</v>
      </c>
      <c r="F273" s="19" t="s">
        <v>874</v>
      </c>
      <c r="G273" s="20">
        <v>45386</v>
      </c>
      <c r="H273" s="20">
        <v>45386</v>
      </c>
      <c r="I273" s="20">
        <v>45386</v>
      </c>
      <c r="J273" s="21">
        <v>2</v>
      </c>
      <c r="K273" s="18" t="s">
        <v>90</v>
      </c>
      <c r="L273" s="22">
        <v>25262</v>
      </c>
      <c r="M273" s="23">
        <v>-1190.58</v>
      </c>
      <c r="N273" s="23">
        <v>24071.42</v>
      </c>
      <c r="O273" s="18" t="s">
        <v>22</v>
      </c>
    </row>
    <row r="274" spans="1:15" s="4" customFormat="1" ht="19.25" customHeight="1" x14ac:dyDescent="0.45">
      <c r="A274" s="18" t="s">
        <v>436</v>
      </c>
      <c r="B274" s="18" t="s">
        <v>394</v>
      </c>
      <c r="C274" s="18" t="s">
        <v>395</v>
      </c>
      <c r="D274" s="18" t="s">
        <v>396</v>
      </c>
      <c r="E274" s="18" t="s">
        <v>397</v>
      </c>
      <c r="F274" s="19" t="s">
        <v>874</v>
      </c>
      <c r="G274" s="20">
        <v>45386</v>
      </c>
      <c r="H274" s="20">
        <v>45386</v>
      </c>
      <c r="I274" s="20">
        <v>45386</v>
      </c>
      <c r="J274" s="21">
        <v>2</v>
      </c>
      <c r="K274" s="18" t="s">
        <v>90</v>
      </c>
      <c r="L274" s="22">
        <v>25262</v>
      </c>
      <c r="M274" s="23">
        <v>-1190.58</v>
      </c>
      <c r="N274" s="23">
        <v>24071.42</v>
      </c>
      <c r="O274" s="18" t="s">
        <v>102</v>
      </c>
    </row>
    <row r="275" spans="1:15" s="4" customFormat="1" ht="19.25" customHeight="1" x14ac:dyDescent="0.45">
      <c r="A275" s="18" t="s">
        <v>437</v>
      </c>
      <c r="B275" s="18" t="s">
        <v>394</v>
      </c>
      <c r="C275" s="18" t="s">
        <v>395</v>
      </c>
      <c r="D275" s="18" t="s">
        <v>396</v>
      </c>
      <c r="E275" s="18" t="s">
        <v>397</v>
      </c>
      <c r="F275" s="19" t="s">
        <v>438</v>
      </c>
      <c r="G275" s="20">
        <v>45386</v>
      </c>
      <c r="H275" s="20">
        <v>45386</v>
      </c>
      <c r="I275" s="20">
        <v>45386</v>
      </c>
      <c r="J275" s="21">
        <v>1</v>
      </c>
      <c r="K275" s="18" t="s">
        <v>90</v>
      </c>
      <c r="L275" s="22">
        <v>8041500</v>
      </c>
      <c r="M275" s="23">
        <v>-378991.27</v>
      </c>
      <c r="N275" s="23">
        <v>7662508.7300000004</v>
      </c>
      <c r="O275" s="18" t="s">
        <v>22</v>
      </c>
    </row>
    <row r="276" spans="1:15" s="4" customFormat="1" ht="31.25" customHeight="1" x14ac:dyDescent="0.45">
      <c r="A276" s="18" t="s">
        <v>439</v>
      </c>
      <c r="B276" s="18" t="s">
        <v>394</v>
      </c>
      <c r="C276" s="18" t="s">
        <v>395</v>
      </c>
      <c r="D276" s="18" t="s">
        <v>396</v>
      </c>
      <c r="E276" s="18" t="s">
        <v>397</v>
      </c>
      <c r="F276" s="19" t="s">
        <v>875</v>
      </c>
      <c r="G276" s="20">
        <v>45386</v>
      </c>
      <c r="H276" s="20">
        <v>45386</v>
      </c>
      <c r="I276" s="20">
        <v>45386</v>
      </c>
      <c r="J276" s="21">
        <v>2</v>
      </c>
      <c r="K276" s="18" t="s">
        <v>150</v>
      </c>
      <c r="L276" s="22">
        <v>1077355.6599999999</v>
      </c>
      <c r="M276" s="23">
        <v>-50775.15</v>
      </c>
      <c r="N276" s="23">
        <v>1026580.51</v>
      </c>
      <c r="O276" s="18" t="s">
        <v>22</v>
      </c>
    </row>
    <row r="277" spans="1:15" s="4" customFormat="1" ht="31.25" customHeight="1" x14ac:dyDescent="0.45">
      <c r="A277" s="18" t="s">
        <v>440</v>
      </c>
      <c r="B277" s="18" t="s">
        <v>394</v>
      </c>
      <c r="C277" s="18" t="s">
        <v>395</v>
      </c>
      <c r="D277" s="18" t="s">
        <v>396</v>
      </c>
      <c r="E277" s="18" t="s">
        <v>397</v>
      </c>
      <c r="F277" s="19" t="s">
        <v>876</v>
      </c>
      <c r="G277" s="20">
        <v>45386</v>
      </c>
      <c r="H277" s="20">
        <v>45386</v>
      </c>
      <c r="I277" s="20">
        <v>45386</v>
      </c>
      <c r="J277" s="21">
        <v>2</v>
      </c>
      <c r="K277" s="18" t="s">
        <v>150</v>
      </c>
      <c r="L277" s="22">
        <f>4309424*2/8</f>
        <v>1077356</v>
      </c>
      <c r="M277" s="23">
        <f>-203100.67*2/8</f>
        <v>-50775.167500000003</v>
      </c>
      <c r="N277" s="23">
        <f>4106323.33*2/8</f>
        <v>1026580.8325</v>
      </c>
      <c r="O277" s="18" t="s">
        <v>22</v>
      </c>
    </row>
    <row r="278" spans="1:15" s="4" customFormat="1" ht="31.25" customHeight="1" x14ac:dyDescent="0.45">
      <c r="A278" s="18" t="s">
        <v>441</v>
      </c>
      <c r="B278" s="18"/>
      <c r="C278" s="18"/>
      <c r="D278" s="18"/>
      <c r="E278" s="18" t="s">
        <v>397</v>
      </c>
      <c r="F278" s="19" t="s">
        <v>876</v>
      </c>
      <c r="G278" s="20">
        <v>45386</v>
      </c>
      <c r="H278" s="20"/>
      <c r="I278" s="20"/>
      <c r="J278" s="21">
        <v>1</v>
      </c>
      <c r="K278" s="18" t="s">
        <v>150</v>
      </c>
      <c r="L278" s="22">
        <f>4309424*1/8</f>
        <v>538678</v>
      </c>
      <c r="M278" s="23">
        <f>-203100.67*1/8</f>
        <v>-25387.583750000002</v>
      </c>
      <c r="N278" s="23">
        <f>4106323.33*1/8</f>
        <v>513290.41625000001</v>
      </c>
      <c r="O278" s="18" t="s">
        <v>102</v>
      </c>
    </row>
    <row r="279" spans="1:15" s="4" customFormat="1" ht="31.25" customHeight="1" x14ac:dyDescent="0.45">
      <c r="A279" s="18" t="s">
        <v>442</v>
      </c>
      <c r="B279" s="18"/>
      <c r="C279" s="18"/>
      <c r="D279" s="18"/>
      <c r="E279" s="18" t="s">
        <v>397</v>
      </c>
      <c r="F279" s="19" t="s">
        <v>876</v>
      </c>
      <c r="G279" s="20">
        <v>45386</v>
      </c>
      <c r="H279" s="20"/>
      <c r="I279" s="20"/>
      <c r="J279" s="21">
        <v>5</v>
      </c>
      <c r="K279" s="18" t="s">
        <v>150</v>
      </c>
      <c r="L279" s="22">
        <f>4309424*5/8</f>
        <v>2693390</v>
      </c>
      <c r="M279" s="23">
        <f>-203100.67*5/8</f>
        <v>-126937.91875000001</v>
      </c>
      <c r="N279" s="23">
        <f>4106323.33*5/8</f>
        <v>2566452.0812499998</v>
      </c>
      <c r="O279" s="18" t="s">
        <v>102</v>
      </c>
    </row>
    <row r="280" spans="1:15" s="4" customFormat="1" ht="31.25" customHeight="1" x14ac:dyDescent="0.45">
      <c r="A280" s="18" t="s">
        <v>443</v>
      </c>
      <c r="B280" s="18" t="s">
        <v>394</v>
      </c>
      <c r="C280" s="18" t="s">
        <v>395</v>
      </c>
      <c r="D280" s="18" t="s">
        <v>396</v>
      </c>
      <c r="E280" s="18" t="s">
        <v>397</v>
      </c>
      <c r="F280" s="19" t="s">
        <v>877</v>
      </c>
      <c r="G280" s="20">
        <v>45386</v>
      </c>
      <c r="H280" s="20">
        <v>45386</v>
      </c>
      <c r="I280" s="20">
        <v>45386</v>
      </c>
      <c r="J280" s="21">
        <v>2</v>
      </c>
      <c r="K280" s="18" t="s">
        <v>150</v>
      </c>
      <c r="L280" s="22">
        <v>1077356</v>
      </c>
      <c r="M280" s="23">
        <v>-50775.17</v>
      </c>
      <c r="N280" s="23">
        <v>1026580.83</v>
      </c>
      <c r="O280" s="18" t="s">
        <v>22</v>
      </c>
    </row>
    <row r="281" spans="1:15" s="4" customFormat="1" ht="31.25" customHeight="1" x14ac:dyDescent="0.45">
      <c r="A281" s="18" t="s">
        <v>444</v>
      </c>
      <c r="B281" s="18" t="s">
        <v>394</v>
      </c>
      <c r="C281" s="18" t="s">
        <v>395</v>
      </c>
      <c r="D281" s="18" t="s">
        <v>396</v>
      </c>
      <c r="E281" s="18" t="s">
        <v>397</v>
      </c>
      <c r="F281" s="19" t="s">
        <v>878</v>
      </c>
      <c r="G281" s="20">
        <v>45386</v>
      </c>
      <c r="H281" s="20">
        <v>45386</v>
      </c>
      <c r="I281" s="20">
        <v>45386</v>
      </c>
      <c r="J281" s="21">
        <v>2</v>
      </c>
      <c r="K281" s="18" t="s">
        <v>150</v>
      </c>
      <c r="L281" s="22">
        <v>904977.52</v>
      </c>
      <c r="M281" s="23">
        <v>-42651.07</v>
      </c>
      <c r="N281" s="23">
        <v>862326.45</v>
      </c>
      <c r="O281" s="18" t="s">
        <v>22</v>
      </c>
    </row>
    <row r="282" spans="1:15" s="4" customFormat="1" ht="31.25" customHeight="1" x14ac:dyDescent="0.45">
      <c r="A282" s="18" t="s">
        <v>445</v>
      </c>
      <c r="B282" s="18" t="s">
        <v>394</v>
      </c>
      <c r="C282" s="18" t="s">
        <v>395</v>
      </c>
      <c r="D282" s="18" t="s">
        <v>396</v>
      </c>
      <c r="E282" s="18" t="s">
        <v>397</v>
      </c>
      <c r="F282" s="19" t="s">
        <v>879</v>
      </c>
      <c r="G282" s="20">
        <v>45386</v>
      </c>
      <c r="H282" s="20">
        <v>45386</v>
      </c>
      <c r="I282" s="20">
        <v>45386</v>
      </c>
      <c r="J282" s="21">
        <v>2</v>
      </c>
      <c r="K282" s="18" t="s">
        <v>150</v>
      </c>
      <c r="L282" s="22">
        <v>868040</v>
      </c>
      <c r="M282" s="23">
        <v>-40910.230000000003</v>
      </c>
      <c r="N282" s="23">
        <v>827129.77</v>
      </c>
      <c r="O282" s="18" t="s">
        <v>102</v>
      </c>
    </row>
    <row r="283" spans="1:15" s="4" customFormat="1" ht="31.25" customHeight="1" x14ac:dyDescent="0.45">
      <c r="A283" s="18" t="s">
        <v>446</v>
      </c>
      <c r="B283" s="18" t="s">
        <v>394</v>
      </c>
      <c r="C283" s="18" t="s">
        <v>395</v>
      </c>
      <c r="D283" s="18" t="s">
        <v>396</v>
      </c>
      <c r="E283" s="18" t="s">
        <v>397</v>
      </c>
      <c r="F283" s="19" t="s">
        <v>879</v>
      </c>
      <c r="G283" s="20">
        <v>45386</v>
      </c>
      <c r="H283" s="20">
        <v>45386</v>
      </c>
      <c r="I283" s="20">
        <v>45386</v>
      </c>
      <c r="J283" s="21">
        <v>2</v>
      </c>
      <c r="K283" s="18" t="s">
        <v>150</v>
      </c>
      <c r="L283" s="22">
        <v>868040</v>
      </c>
      <c r="M283" s="23">
        <v>-40910.230000000003</v>
      </c>
      <c r="N283" s="23">
        <v>827129.77</v>
      </c>
      <c r="O283" s="18" t="s">
        <v>22</v>
      </c>
    </row>
    <row r="284" spans="1:15" s="4" customFormat="1" ht="31.25" customHeight="1" x14ac:dyDescent="0.45">
      <c r="A284" s="18" t="s">
        <v>447</v>
      </c>
      <c r="B284" s="18" t="s">
        <v>394</v>
      </c>
      <c r="C284" s="18" t="s">
        <v>395</v>
      </c>
      <c r="D284" s="18" t="s">
        <v>396</v>
      </c>
      <c r="E284" s="18" t="s">
        <v>397</v>
      </c>
      <c r="F284" s="19" t="s">
        <v>448</v>
      </c>
      <c r="G284" s="20">
        <v>45386</v>
      </c>
      <c r="H284" s="20">
        <v>45386</v>
      </c>
      <c r="I284" s="20">
        <v>45386</v>
      </c>
      <c r="J284" s="21">
        <v>2</v>
      </c>
      <c r="K284" s="18" t="s">
        <v>150</v>
      </c>
      <c r="L284" s="22">
        <v>904978</v>
      </c>
      <c r="M284" s="23">
        <v>-42651.09</v>
      </c>
      <c r="N284" s="23">
        <v>862326.91</v>
      </c>
      <c r="O284" s="18" t="s">
        <v>22</v>
      </c>
    </row>
    <row r="285" spans="1:15" s="4" customFormat="1" ht="31.25" customHeight="1" x14ac:dyDescent="0.45">
      <c r="A285" s="18" t="s">
        <v>449</v>
      </c>
      <c r="B285" s="18" t="s">
        <v>394</v>
      </c>
      <c r="C285" s="18" t="s">
        <v>395</v>
      </c>
      <c r="D285" s="18" t="s">
        <v>396</v>
      </c>
      <c r="E285" s="18" t="s">
        <v>397</v>
      </c>
      <c r="F285" s="19" t="s">
        <v>880</v>
      </c>
      <c r="G285" s="20">
        <v>45386</v>
      </c>
      <c r="H285" s="20">
        <v>45386</v>
      </c>
      <c r="I285" s="20">
        <v>45386</v>
      </c>
      <c r="J285" s="21">
        <v>4</v>
      </c>
      <c r="K285" s="18" t="s">
        <v>150</v>
      </c>
      <c r="L285" s="22">
        <f>2170100*4/5</f>
        <v>1736080</v>
      </c>
      <c r="M285" s="23">
        <f>-102275.56*4/5</f>
        <v>-81820.448000000004</v>
      </c>
      <c r="N285" s="23">
        <f>2067824.44*4/5</f>
        <v>1654259.5519999999</v>
      </c>
      <c r="O285" s="18" t="s">
        <v>22</v>
      </c>
    </row>
    <row r="286" spans="1:15" s="4" customFormat="1" ht="31.25" customHeight="1" x14ac:dyDescent="0.45">
      <c r="A286" s="18" t="s">
        <v>450</v>
      </c>
      <c r="B286" s="18" t="s">
        <v>394</v>
      </c>
      <c r="C286" s="18" t="s">
        <v>395</v>
      </c>
      <c r="D286" s="18" t="s">
        <v>396</v>
      </c>
      <c r="E286" s="18" t="s">
        <v>397</v>
      </c>
      <c r="F286" s="19" t="s">
        <v>880</v>
      </c>
      <c r="G286" s="20">
        <v>45386</v>
      </c>
      <c r="H286" s="20">
        <v>45386</v>
      </c>
      <c r="I286" s="20">
        <v>45386</v>
      </c>
      <c r="J286" s="21">
        <v>1</v>
      </c>
      <c r="K286" s="18" t="s">
        <v>150</v>
      </c>
      <c r="L286" s="22">
        <f>2170100*1/5</f>
        <v>434020</v>
      </c>
      <c r="M286" s="23">
        <f>-102275.56*1/5</f>
        <v>-20455.112000000001</v>
      </c>
      <c r="N286" s="23">
        <f>2067824.44*1/5</f>
        <v>413564.88799999998</v>
      </c>
      <c r="O286" s="18" t="s">
        <v>102</v>
      </c>
    </row>
    <row r="287" spans="1:15" s="4" customFormat="1" ht="31.25" customHeight="1" x14ac:dyDescent="0.45">
      <c r="A287" s="18" t="s">
        <v>451</v>
      </c>
      <c r="B287" s="18" t="s">
        <v>394</v>
      </c>
      <c r="C287" s="18" t="s">
        <v>395</v>
      </c>
      <c r="D287" s="18" t="s">
        <v>396</v>
      </c>
      <c r="E287" s="18" t="s">
        <v>397</v>
      </c>
      <c r="F287" s="19" t="s">
        <v>452</v>
      </c>
      <c r="G287" s="20">
        <v>45386</v>
      </c>
      <c r="H287" s="20">
        <v>45386</v>
      </c>
      <c r="I287" s="20">
        <v>45386</v>
      </c>
      <c r="J287" s="21">
        <f>5/11</f>
        <v>0.45454545454545453</v>
      </c>
      <c r="K287" s="18" t="s">
        <v>21</v>
      </c>
      <c r="L287" s="22">
        <f>1356300*J287</f>
        <v>616500</v>
      </c>
      <c r="M287" s="23">
        <f>-63921.64*J287</f>
        <v>-29055.290909090909</v>
      </c>
      <c r="N287" s="23">
        <f>1292378.36*J287</f>
        <v>587444.70909090911</v>
      </c>
      <c r="O287" s="18" t="s">
        <v>22</v>
      </c>
    </row>
    <row r="288" spans="1:15" s="4" customFormat="1" ht="31.25" customHeight="1" x14ac:dyDescent="0.45">
      <c r="A288" s="18" t="s">
        <v>453</v>
      </c>
      <c r="B288" s="18"/>
      <c r="C288" s="18"/>
      <c r="D288" s="18"/>
      <c r="E288" s="18" t="s">
        <v>397</v>
      </c>
      <c r="F288" s="19" t="s">
        <v>452</v>
      </c>
      <c r="G288" s="20">
        <v>45386</v>
      </c>
      <c r="H288" s="20"/>
      <c r="I288" s="20"/>
      <c r="J288" s="21">
        <f>1/11</f>
        <v>9.0909090909090912E-2</v>
      </c>
      <c r="K288" s="18" t="s">
        <v>21</v>
      </c>
      <c r="L288" s="22">
        <f>1356300*J288</f>
        <v>123300</v>
      </c>
      <c r="M288" s="23">
        <f>-63921.64*J288</f>
        <v>-5811.0581818181818</v>
      </c>
      <c r="N288" s="23">
        <f>1292378.36*J288</f>
        <v>117488.94181818183</v>
      </c>
      <c r="O288" s="18" t="s">
        <v>102</v>
      </c>
    </row>
    <row r="289" spans="1:15" s="4" customFormat="1" ht="31.25" customHeight="1" x14ac:dyDescent="0.45">
      <c r="A289" s="18" t="s">
        <v>454</v>
      </c>
      <c r="B289" s="18"/>
      <c r="C289" s="18"/>
      <c r="D289" s="18"/>
      <c r="E289" s="18" t="s">
        <v>397</v>
      </c>
      <c r="F289" s="19" t="s">
        <v>452</v>
      </c>
      <c r="G289" s="20">
        <v>45386</v>
      </c>
      <c r="H289" s="20"/>
      <c r="I289" s="20"/>
      <c r="J289" s="21">
        <f>5/11</f>
        <v>0.45454545454545453</v>
      </c>
      <c r="K289" s="18" t="s">
        <v>21</v>
      </c>
      <c r="L289" s="22">
        <f>1356300*J289</f>
        <v>616500</v>
      </c>
      <c r="M289" s="23">
        <f>-63921.64*J289</f>
        <v>-29055.290909090909</v>
      </c>
      <c r="N289" s="23">
        <f>1292378.36*J289</f>
        <v>587444.70909090911</v>
      </c>
      <c r="O289" s="18" t="s">
        <v>102</v>
      </c>
    </row>
    <row r="290" spans="1:15" s="4" customFormat="1" ht="31.25" customHeight="1" x14ac:dyDescent="0.45">
      <c r="A290" s="18" t="s">
        <v>455</v>
      </c>
      <c r="B290" s="18" t="s">
        <v>394</v>
      </c>
      <c r="C290" s="18" t="s">
        <v>395</v>
      </c>
      <c r="D290" s="18" t="s">
        <v>396</v>
      </c>
      <c r="E290" s="18" t="s">
        <v>397</v>
      </c>
      <c r="F290" s="19" t="s">
        <v>881</v>
      </c>
      <c r="G290" s="20">
        <v>45386</v>
      </c>
      <c r="H290" s="20">
        <v>45386</v>
      </c>
      <c r="I290" s="20">
        <v>45386</v>
      </c>
      <c r="J290" s="21">
        <v>1</v>
      </c>
      <c r="K290" s="18" t="s">
        <v>21</v>
      </c>
      <c r="L290" s="22">
        <v>2008000</v>
      </c>
      <c r="M290" s="23">
        <v>-94635.88</v>
      </c>
      <c r="N290" s="23">
        <v>1913364.12</v>
      </c>
      <c r="O290" s="18" t="s">
        <v>22</v>
      </c>
    </row>
    <row r="291" spans="1:15" s="4" customFormat="1" ht="19.25" customHeight="1" x14ac:dyDescent="0.45">
      <c r="A291" s="18" t="s">
        <v>456</v>
      </c>
      <c r="B291" s="18" t="s">
        <v>394</v>
      </c>
      <c r="C291" s="18" t="s">
        <v>395</v>
      </c>
      <c r="D291" s="18" t="s">
        <v>396</v>
      </c>
      <c r="E291" s="18" t="s">
        <v>397</v>
      </c>
      <c r="F291" s="19" t="s">
        <v>457</v>
      </c>
      <c r="G291" s="20">
        <v>45386</v>
      </c>
      <c r="H291" s="20">
        <v>45386</v>
      </c>
      <c r="I291" s="20">
        <v>45386</v>
      </c>
      <c r="J291" s="21">
        <v>1</v>
      </c>
      <c r="K291" s="18" t="s">
        <v>21</v>
      </c>
      <c r="L291" s="22">
        <v>1764600</v>
      </c>
      <c r="M291" s="23">
        <v>-83164.58</v>
      </c>
      <c r="N291" s="23">
        <v>1681435.42</v>
      </c>
      <c r="O291" s="19" t="s">
        <v>22</v>
      </c>
    </row>
    <row r="292" spans="1:15" s="4" customFormat="1" ht="19.25" customHeight="1" x14ac:dyDescent="0.45">
      <c r="A292" s="18" t="s">
        <v>458</v>
      </c>
      <c r="B292" s="18" t="s">
        <v>394</v>
      </c>
      <c r="C292" s="18" t="s">
        <v>395</v>
      </c>
      <c r="D292" s="18" t="s">
        <v>396</v>
      </c>
      <c r="E292" s="18" t="s">
        <v>397</v>
      </c>
      <c r="F292" s="19" t="s">
        <v>459</v>
      </c>
      <c r="G292" s="20">
        <v>45386</v>
      </c>
      <c r="H292" s="20">
        <v>45386</v>
      </c>
      <c r="I292" s="20">
        <v>45386</v>
      </c>
      <c r="J292" s="21">
        <v>1</v>
      </c>
      <c r="K292" s="18" t="s">
        <v>21</v>
      </c>
      <c r="L292" s="22">
        <v>2008000</v>
      </c>
      <c r="M292" s="23">
        <v>-94635.88</v>
      </c>
      <c r="N292" s="23">
        <v>1913364.12</v>
      </c>
      <c r="O292" s="18" t="s">
        <v>22</v>
      </c>
    </row>
    <row r="293" spans="1:15" s="4" customFormat="1" ht="19.25" customHeight="1" x14ac:dyDescent="0.45">
      <c r="A293" s="18" t="s">
        <v>460</v>
      </c>
      <c r="B293" s="18" t="s">
        <v>394</v>
      </c>
      <c r="C293" s="18" t="s">
        <v>395</v>
      </c>
      <c r="D293" s="18" t="s">
        <v>396</v>
      </c>
      <c r="E293" s="18" t="s">
        <v>397</v>
      </c>
      <c r="F293" s="19" t="s">
        <v>459</v>
      </c>
      <c r="G293" s="20">
        <v>45386</v>
      </c>
      <c r="H293" s="20">
        <v>45386</v>
      </c>
      <c r="I293" s="20">
        <v>45386</v>
      </c>
      <c r="J293" s="21">
        <v>1</v>
      </c>
      <c r="K293" s="18" t="s">
        <v>21</v>
      </c>
      <c r="L293" s="22">
        <v>2008000</v>
      </c>
      <c r="M293" s="23">
        <v>-94635.88</v>
      </c>
      <c r="N293" s="23">
        <v>1913364.12</v>
      </c>
      <c r="O293" s="18" t="s">
        <v>22</v>
      </c>
    </row>
    <row r="294" spans="1:15" s="4" customFormat="1" ht="19.25" customHeight="1" x14ac:dyDescent="0.45">
      <c r="A294" s="18" t="s">
        <v>461</v>
      </c>
      <c r="B294" s="18" t="s">
        <v>394</v>
      </c>
      <c r="C294" s="18" t="s">
        <v>395</v>
      </c>
      <c r="D294" s="18" t="s">
        <v>396</v>
      </c>
      <c r="E294" s="18" t="s">
        <v>397</v>
      </c>
      <c r="F294" s="19" t="s">
        <v>459</v>
      </c>
      <c r="G294" s="20">
        <v>45386</v>
      </c>
      <c r="H294" s="20">
        <v>45386</v>
      </c>
      <c r="I294" s="20">
        <v>45386</v>
      </c>
      <c r="J294" s="21">
        <v>1</v>
      </c>
      <c r="K294" s="18" t="s">
        <v>21</v>
      </c>
      <c r="L294" s="22">
        <v>2008000</v>
      </c>
      <c r="M294" s="23">
        <v>-94635.88</v>
      </c>
      <c r="N294" s="23">
        <v>1913364.12</v>
      </c>
      <c r="O294" s="18" t="s">
        <v>102</v>
      </c>
    </row>
    <row r="295" spans="1:15" s="4" customFormat="1" ht="19.25" customHeight="1" x14ac:dyDescent="0.45">
      <c r="A295" s="18" t="s">
        <v>462</v>
      </c>
      <c r="B295" s="18" t="s">
        <v>394</v>
      </c>
      <c r="C295" s="18" t="s">
        <v>395</v>
      </c>
      <c r="D295" s="18" t="s">
        <v>396</v>
      </c>
      <c r="E295" s="18" t="s">
        <v>397</v>
      </c>
      <c r="F295" s="19" t="s">
        <v>459</v>
      </c>
      <c r="G295" s="20">
        <v>45386</v>
      </c>
      <c r="H295" s="20">
        <v>45386</v>
      </c>
      <c r="I295" s="20">
        <v>45386</v>
      </c>
      <c r="J295" s="21">
        <v>1</v>
      </c>
      <c r="K295" s="18" t="s">
        <v>21</v>
      </c>
      <c r="L295" s="22">
        <v>2008000</v>
      </c>
      <c r="M295" s="23">
        <v>-94635.88</v>
      </c>
      <c r="N295" s="23">
        <v>1913364.12</v>
      </c>
      <c r="O295" s="18" t="s">
        <v>102</v>
      </c>
    </row>
    <row r="296" spans="1:15" s="4" customFormat="1" ht="19.25" customHeight="1" x14ac:dyDescent="0.45">
      <c r="A296" s="18" t="s">
        <v>463</v>
      </c>
      <c r="B296" s="18" t="s">
        <v>394</v>
      </c>
      <c r="C296" s="18" t="s">
        <v>395</v>
      </c>
      <c r="D296" s="18" t="s">
        <v>396</v>
      </c>
      <c r="E296" s="18" t="s">
        <v>397</v>
      </c>
      <c r="F296" s="19" t="s">
        <v>459</v>
      </c>
      <c r="G296" s="20">
        <v>45386</v>
      </c>
      <c r="H296" s="20">
        <v>45386</v>
      </c>
      <c r="I296" s="20">
        <v>45386</v>
      </c>
      <c r="J296" s="21">
        <v>1</v>
      </c>
      <c r="K296" s="18" t="s">
        <v>21</v>
      </c>
      <c r="L296" s="22">
        <v>2008000</v>
      </c>
      <c r="M296" s="23">
        <v>-94635.88</v>
      </c>
      <c r="N296" s="23">
        <v>1913364.12</v>
      </c>
      <c r="O296" s="18" t="s">
        <v>102</v>
      </c>
    </row>
    <row r="297" spans="1:15" s="4" customFormat="1" ht="19.25" customHeight="1" x14ac:dyDescent="0.45">
      <c r="A297" s="18" t="s">
        <v>464</v>
      </c>
      <c r="B297" s="18" t="s">
        <v>394</v>
      </c>
      <c r="C297" s="18" t="s">
        <v>395</v>
      </c>
      <c r="D297" s="18" t="s">
        <v>396</v>
      </c>
      <c r="E297" s="18" t="s">
        <v>397</v>
      </c>
      <c r="F297" s="19" t="s">
        <v>459</v>
      </c>
      <c r="G297" s="20">
        <v>45386</v>
      </c>
      <c r="H297" s="20">
        <v>45386</v>
      </c>
      <c r="I297" s="20">
        <v>45386</v>
      </c>
      <c r="J297" s="21">
        <v>1</v>
      </c>
      <c r="K297" s="18" t="s">
        <v>21</v>
      </c>
      <c r="L297" s="22">
        <v>2008000</v>
      </c>
      <c r="M297" s="23">
        <v>-94635.88</v>
      </c>
      <c r="N297" s="23">
        <v>1913364.12</v>
      </c>
      <c r="O297" s="18" t="s">
        <v>102</v>
      </c>
    </row>
    <row r="298" spans="1:15" s="4" customFormat="1" ht="19.25" customHeight="1" x14ac:dyDescent="0.45">
      <c r="A298" s="18" t="s">
        <v>465</v>
      </c>
      <c r="B298" s="18" t="s">
        <v>394</v>
      </c>
      <c r="C298" s="18" t="s">
        <v>395</v>
      </c>
      <c r="D298" s="18" t="s">
        <v>396</v>
      </c>
      <c r="E298" s="18" t="s">
        <v>397</v>
      </c>
      <c r="F298" s="19" t="s">
        <v>459</v>
      </c>
      <c r="G298" s="20">
        <v>45386</v>
      </c>
      <c r="H298" s="20">
        <v>45386</v>
      </c>
      <c r="I298" s="20">
        <v>45386</v>
      </c>
      <c r="J298" s="21">
        <v>1</v>
      </c>
      <c r="K298" s="18" t="s">
        <v>21</v>
      </c>
      <c r="L298" s="22">
        <v>2008000</v>
      </c>
      <c r="M298" s="23">
        <v>-94635.88</v>
      </c>
      <c r="N298" s="23">
        <v>1913364.12</v>
      </c>
      <c r="O298" s="18" t="s">
        <v>102</v>
      </c>
    </row>
    <row r="299" spans="1:15" s="4" customFormat="1" ht="19.25" customHeight="1" x14ac:dyDescent="0.45">
      <c r="A299" s="18" t="s">
        <v>466</v>
      </c>
      <c r="B299" s="18" t="s">
        <v>394</v>
      </c>
      <c r="C299" s="18" t="s">
        <v>395</v>
      </c>
      <c r="D299" s="18" t="s">
        <v>396</v>
      </c>
      <c r="E299" s="18" t="s">
        <v>397</v>
      </c>
      <c r="F299" s="19" t="s">
        <v>459</v>
      </c>
      <c r="G299" s="20">
        <v>45386</v>
      </c>
      <c r="H299" s="20">
        <v>45386</v>
      </c>
      <c r="I299" s="20">
        <v>45386</v>
      </c>
      <c r="J299" s="21">
        <v>1</v>
      </c>
      <c r="K299" s="18" t="s">
        <v>21</v>
      </c>
      <c r="L299" s="22">
        <v>2008000</v>
      </c>
      <c r="M299" s="23">
        <v>-94635.88</v>
      </c>
      <c r="N299" s="23">
        <v>1913364.12</v>
      </c>
      <c r="O299" s="18" t="s">
        <v>102</v>
      </c>
    </row>
    <row r="300" spans="1:15" s="4" customFormat="1" ht="29.35" customHeight="1" x14ac:dyDescent="0.45">
      <c r="A300" s="18" t="s">
        <v>467</v>
      </c>
      <c r="B300" s="18" t="s">
        <v>394</v>
      </c>
      <c r="C300" s="18" t="s">
        <v>395</v>
      </c>
      <c r="D300" s="18" t="s">
        <v>396</v>
      </c>
      <c r="E300" s="18" t="s">
        <v>397</v>
      </c>
      <c r="F300" s="19" t="s">
        <v>882</v>
      </c>
      <c r="G300" s="20">
        <v>45386</v>
      </c>
      <c r="H300" s="20">
        <v>45386</v>
      </c>
      <c r="I300" s="20">
        <v>45386</v>
      </c>
      <c r="J300" s="21">
        <v>1</v>
      </c>
      <c r="K300" s="18" t="s">
        <v>21</v>
      </c>
      <c r="L300" s="22">
        <v>2251400</v>
      </c>
      <c r="M300" s="23">
        <v>-106107.19</v>
      </c>
      <c r="N300" s="23">
        <v>2145292.81</v>
      </c>
      <c r="O300" s="18" t="s">
        <v>22</v>
      </c>
    </row>
    <row r="301" spans="1:15" s="4" customFormat="1" ht="29.35" customHeight="1" x14ac:dyDescent="0.45">
      <c r="A301" s="18" t="s">
        <v>468</v>
      </c>
      <c r="B301" s="18" t="s">
        <v>394</v>
      </c>
      <c r="C301" s="18" t="s">
        <v>395</v>
      </c>
      <c r="D301" s="18" t="s">
        <v>396</v>
      </c>
      <c r="E301" s="18" t="s">
        <v>397</v>
      </c>
      <c r="F301" s="19" t="s">
        <v>882</v>
      </c>
      <c r="G301" s="20">
        <v>45386</v>
      </c>
      <c r="H301" s="20">
        <v>45386</v>
      </c>
      <c r="I301" s="20">
        <v>45386</v>
      </c>
      <c r="J301" s="21">
        <v>1</v>
      </c>
      <c r="K301" s="18" t="s">
        <v>21</v>
      </c>
      <c r="L301" s="22">
        <v>2251400</v>
      </c>
      <c r="M301" s="23">
        <v>-106107.19</v>
      </c>
      <c r="N301" s="23">
        <v>2145292.81</v>
      </c>
      <c r="O301" s="18" t="s">
        <v>22</v>
      </c>
    </row>
    <row r="302" spans="1:15" s="4" customFormat="1" ht="19.25" customHeight="1" x14ac:dyDescent="0.45">
      <c r="A302" s="18" t="s">
        <v>469</v>
      </c>
      <c r="B302" s="18" t="s">
        <v>394</v>
      </c>
      <c r="C302" s="18" t="s">
        <v>395</v>
      </c>
      <c r="D302" s="18" t="s">
        <v>396</v>
      </c>
      <c r="E302" s="18" t="s">
        <v>397</v>
      </c>
      <c r="F302" s="19" t="s">
        <v>470</v>
      </c>
      <c r="G302" s="20">
        <v>45386</v>
      </c>
      <c r="H302" s="20">
        <v>45386</v>
      </c>
      <c r="I302" s="20">
        <v>45386</v>
      </c>
      <c r="J302" s="21">
        <f>5/11</f>
        <v>0.45454545454545453</v>
      </c>
      <c r="K302" s="18" t="s">
        <v>21</v>
      </c>
      <c r="L302" s="22">
        <f>1860900*J302</f>
        <v>845863.63636363635</v>
      </c>
      <c r="M302" s="23">
        <f>-87703.15*J302</f>
        <v>-39865.068181818177</v>
      </c>
      <c r="N302" s="23">
        <f>1773196.85*J302</f>
        <v>805998.56818181823</v>
      </c>
      <c r="O302" s="18" t="s">
        <v>22</v>
      </c>
    </row>
    <row r="303" spans="1:15" s="4" customFormat="1" ht="19.25" customHeight="1" x14ac:dyDescent="0.45">
      <c r="A303" s="18" t="s">
        <v>471</v>
      </c>
      <c r="B303" s="18"/>
      <c r="C303" s="18"/>
      <c r="D303" s="18"/>
      <c r="E303" s="18" t="s">
        <v>397</v>
      </c>
      <c r="F303" s="19" t="s">
        <v>470</v>
      </c>
      <c r="G303" s="20">
        <v>45386</v>
      </c>
      <c r="H303" s="20"/>
      <c r="I303" s="20"/>
      <c r="J303" s="21">
        <f>1/11</f>
        <v>9.0909090909090912E-2</v>
      </c>
      <c r="K303" s="18" t="s">
        <v>21</v>
      </c>
      <c r="L303" s="22">
        <f>1860900*J303</f>
        <v>169172.72727272726</v>
      </c>
      <c r="M303" s="23">
        <f>-87703.15*J303</f>
        <v>-7973.0136363636357</v>
      </c>
      <c r="N303" s="23">
        <f>1773196.85*J303</f>
        <v>161199.71363636365</v>
      </c>
      <c r="O303" s="18" t="s">
        <v>102</v>
      </c>
    </row>
    <row r="304" spans="1:15" s="4" customFormat="1" ht="19.25" customHeight="1" x14ac:dyDescent="0.45">
      <c r="A304" s="18" t="s">
        <v>472</v>
      </c>
      <c r="B304" s="18"/>
      <c r="C304" s="18"/>
      <c r="D304" s="18"/>
      <c r="E304" s="18" t="s">
        <v>397</v>
      </c>
      <c r="F304" s="19" t="s">
        <v>470</v>
      </c>
      <c r="G304" s="20">
        <v>45386</v>
      </c>
      <c r="H304" s="20"/>
      <c r="I304" s="20"/>
      <c r="J304" s="21">
        <f>5/11</f>
        <v>0.45454545454545453</v>
      </c>
      <c r="K304" s="18" t="s">
        <v>21</v>
      </c>
      <c r="L304" s="22">
        <f>1860900*J304</f>
        <v>845863.63636363635</v>
      </c>
      <c r="M304" s="23">
        <f>-87703.15*J304</f>
        <v>-39865.068181818177</v>
      </c>
      <c r="N304" s="23">
        <f>1773196.85*J304</f>
        <v>805998.56818181823</v>
      </c>
      <c r="O304" s="18" t="s">
        <v>102</v>
      </c>
    </row>
    <row r="305" spans="1:15" s="4" customFormat="1" ht="19.25" customHeight="1" x14ac:dyDescent="0.45">
      <c r="A305" s="18" t="s">
        <v>473</v>
      </c>
      <c r="B305" s="18" t="s">
        <v>394</v>
      </c>
      <c r="C305" s="18" t="s">
        <v>395</v>
      </c>
      <c r="D305" s="18" t="s">
        <v>396</v>
      </c>
      <c r="E305" s="18" t="s">
        <v>397</v>
      </c>
      <c r="F305" s="19" t="s">
        <v>474</v>
      </c>
      <c r="G305" s="20">
        <v>45386</v>
      </c>
      <c r="H305" s="20">
        <v>45386</v>
      </c>
      <c r="I305" s="20">
        <v>45386</v>
      </c>
      <c r="J305" s="21">
        <v>1</v>
      </c>
      <c r="K305" s="18" t="s">
        <v>90</v>
      </c>
      <c r="L305" s="22">
        <v>4233500</v>
      </c>
      <c r="M305" s="23">
        <v>-199522.42</v>
      </c>
      <c r="N305" s="23">
        <v>4033977.58</v>
      </c>
      <c r="O305" s="18" t="s">
        <v>102</v>
      </c>
    </row>
    <row r="306" spans="1:15" s="4" customFormat="1" ht="19.25" customHeight="1" x14ac:dyDescent="0.45">
      <c r="A306" s="18" t="s">
        <v>475</v>
      </c>
      <c r="B306" s="18" t="s">
        <v>423</v>
      </c>
      <c r="C306" s="18" t="s">
        <v>424</v>
      </c>
      <c r="D306" s="18" t="s">
        <v>425</v>
      </c>
      <c r="E306" s="18" t="s">
        <v>426</v>
      </c>
      <c r="F306" s="19" t="s">
        <v>476</v>
      </c>
      <c r="G306" s="20">
        <v>45386</v>
      </c>
      <c r="H306" s="20">
        <v>45386</v>
      </c>
      <c r="I306" s="20">
        <v>45386</v>
      </c>
      <c r="J306" s="21">
        <v>0.24</v>
      </c>
      <c r="K306" s="18" t="s">
        <v>276</v>
      </c>
      <c r="L306" s="22">
        <v>194717.01</v>
      </c>
      <c r="M306" s="23">
        <v>-5805.08</v>
      </c>
      <c r="N306" s="23">
        <v>188911.93</v>
      </c>
      <c r="O306" s="19" t="s">
        <v>22</v>
      </c>
    </row>
    <row r="307" spans="1:15" s="4" customFormat="1" ht="19.25" customHeight="1" x14ac:dyDescent="0.45">
      <c r="A307" s="18" t="s">
        <v>477</v>
      </c>
      <c r="B307" s="18" t="s">
        <v>423</v>
      </c>
      <c r="C307" s="18" t="s">
        <v>424</v>
      </c>
      <c r="D307" s="18" t="s">
        <v>425</v>
      </c>
      <c r="E307" s="18" t="s">
        <v>426</v>
      </c>
      <c r="F307" s="19" t="s">
        <v>478</v>
      </c>
      <c r="G307" s="20">
        <v>45386</v>
      </c>
      <c r="H307" s="20">
        <v>45386</v>
      </c>
      <c r="I307" s="20">
        <v>45386</v>
      </c>
      <c r="J307" s="21">
        <v>2</v>
      </c>
      <c r="K307" s="18" t="s">
        <v>90</v>
      </c>
      <c r="L307" s="22">
        <v>42750</v>
      </c>
      <c r="M307" s="23">
        <v>-1274.5</v>
      </c>
      <c r="N307" s="23">
        <v>41475.5</v>
      </c>
      <c r="O307" s="18" t="s">
        <v>22</v>
      </c>
    </row>
    <row r="308" spans="1:15" s="4" customFormat="1" ht="19.25" customHeight="1" x14ac:dyDescent="0.45">
      <c r="A308" s="18" t="s">
        <v>479</v>
      </c>
      <c r="B308" s="18" t="s">
        <v>423</v>
      </c>
      <c r="C308" s="18" t="s">
        <v>424</v>
      </c>
      <c r="D308" s="18" t="s">
        <v>425</v>
      </c>
      <c r="E308" s="18" t="s">
        <v>426</v>
      </c>
      <c r="F308" s="19" t="s">
        <v>478</v>
      </c>
      <c r="G308" s="20">
        <v>45386</v>
      </c>
      <c r="H308" s="20">
        <v>45386</v>
      </c>
      <c r="I308" s="20">
        <v>45386</v>
      </c>
      <c r="J308" s="21">
        <v>9</v>
      </c>
      <c r="K308" s="18" t="s">
        <v>90</v>
      </c>
      <c r="L308" s="22">
        <v>334521</v>
      </c>
      <c r="M308" s="23">
        <v>-9973.0499999999993</v>
      </c>
      <c r="N308" s="23">
        <v>324547.95</v>
      </c>
      <c r="O308" s="18" t="s">
        <v>22</v>
      </c>
    </row>
    <row r="309" spans="1:15" s="4" customFormat="1" ht="19.25" customHeight="1" x14ac:dyDescent="0.45">
      <c r="A309" s="18" t="s">
        <v>480</v>
      </c>
      <c r="B309" s="18" t="s">
        <v>423</v>
      </c>
      <c r="C309" s="18" t="s">
        <v>424</v>
      </c>
      <c r="D309" s="18" t="s">
        <v>425</v>
      </c>
      <c r="E309" s="18" t="s">
        <v>426</v>
      </c>
      <c r="F309" s="19" t="s">
        <v>478</v>
      </c>
      <c r="G309" s="20">
        <v>45386</v>
      </c>
      <c r="H309" s="20">
        <v>45386</v>
      </c>
      <c r="I309" s="20">
        <v>45386</v>
      </c>
      <c r="J309" s="21">
        <v>8</v>
      </c>
      <c r="K309" s="18" t="s">
        <v>90</v>
      </c>
      <c r="L309" s="22">
        <v>314732.73</v>
      </c>
      <c r="M309" s="23">
        <v>-9383.11</v>
      </c>
      <c r="N309" s="23">
        <v>305349.62</v>
      </c>
      <c r="O309" s="18" t="s">
        <v>22</v>
      </c>
    </row>
    <row r="310" spans="1:15" s="4" customFormat="1" ht="19.25" customHeight="1" x14ac:dyDescent="0.45">
      <c r="A310" s="18" t="s">
        <v>481</v>
      </c>
      <c r="B310" s="18" t="s">
        <v>423</v>
      </c>
      <c r="C310" s="18" t="s">
        <v>424</v>
      </c>
      <c r="D310" s="18" t="s">
        <v>425</v>
      </c>
      <c r="E310" s="18" t="s">
        <v>426</v>
      </c>
      <c r="F310" s="19" t="s">
        <v>478</v>
      </c>
      <c r="G310" s="20">
        <v>45386</v>
      </c>
      <c r="H310" s="20">
        <v>45386</v>
      </c>
      <c r="I310" s="20">
        <v>45386</v>
      </c>
      <c r="J310" s="21">
        <v>2</v>
      </c>
      <c r="K310" s="18" t="s">
        <v>90</v>
      </c>
      <c r="L310" s="22">
        <v>80536</v>
      </c>
      <c r="M310" s="23">
        <v>-2401.0100000000002</v>
      </c>
      <c r="N310" s="23">
        <v>78134.990000000005</v>
      </c>
      <c r="O310" s="18" t="s">
        <v>22</v>
      </c>
    </row>
    <row r="311" spans="1:15" s="4" customFormat="1" ht="19.25" customHeight="1" x14ac:dyDescent="0.45">
      <c r="A311" s="18" t="s">
        <v>482</v>
      </c>
      <c r="B311" s="18" t="s">
        <v>423</v>
      </c>
      <c r="C311" s="18" t="s">
        <v>424</v>
      </c>
      <c r="D311" s="18" t="s">
        <v>425</v>
      </c>
      <c r="E311" s="18" t="s">
        <v>426</v>
      </c>
      <c r="F311" s="19" t="s">
        <v>478</v>
      </c>
      <c r="G311" s="20">
        <v>45386</v>
      </c>
      <c r="H311" s="20">
        <v>45386</v>
      </c>
      <c r="I311" s="20">
        <v>45386</v>
      </c>
      <c r="J311" s="21">
        <v>11</v>
      </c>
      <c r="K311" s="18" t="s">
        <v>90</v>
      </c>
      <c r="L311" s="22">
        <v>116336</v>
      </c>
      <c r="M311" s="23">
        <v>-3468.32</v>
      </c>
      <c r="N311" s="23">
        <v>112867.68</v>
      </c>
      <c r="O311" s="18" t="s">
        <v>22</v>
      </c>
    </row>
    <row r="312" spans="1:15" s="4" customFormat="1" ht="19.25" customHeight="1" x14ac:dyDescent="0.45">
      <c r="A312" s="18" t="s">
        <v>483</v>
      </c>
      <c r="B312" s="18" t="s">
        <v>423</v>
      </c>
      <c r="C312" s="18" t="s">
        <v>424</v>
      </c>
      <c r="D312" s="18" t="s">
        <v>425</v>
      </c>
      <c r="E312" s="18" t="s">
        <v>426</v>
      </c>
      <c r="F312" s="19" t="s">
        <v>478</v>
      </c>
      <c r="G312" s="20">
        <v>45386</v>
      </c>
      <c r="H312" s="20">
        <v>45386</v>
      </c>
      <c r="I312" s="20">
        <v>45386</v>
      </c>
      <c r="J312" s="21">
        <v>1</v>
      </c>
      <c r="K312" s="18" t="s">
        <v>90</v>
      </c>
      <c r="L312" s="22">
        <v>19898</v>
      </c>
      <c r="M312" s="23">
        <v>-593.22</v>
      </c>
      <c r="N312" s="23">
        <v>19304.78</v>
      </c>
      <c r="O312" s="18" t="s">
        <v>22</v>
      </c>
    </row>
    <row r="313" spans="1:15" s="4" customFormat="1" ht="19.25" customHeight="1" x14ac:dyDescent="0.45">
      <c r="A313" s="18" t="s">
        <v>484</v>
      </c>
      <c r="B313" s="18" t="s">
        <v>394</v>
      </c>
      <c r="C313" s="18" t="s">
        <v>395</v>
      </c>
      <c r="D313" s="18" t="s">
        <v>396</v>
      </c>
      <c r="E313" s="18" t="s">
        <v>397</v>
      </c>
      <c r="F313" s="19" t="s">
        <v>485</v>
      </c>
      <c r="G313" s="20">
        <v>45386</v>
      </c>
      <c r="H313" s="20">
        <v>45386</v>
      </c>
      <c r="I313" s="20">
        <v>45386</v>
      </c>
      <c r="J313" s="21">
        <v>1</v>
      </c>
      <c r="K313" s="18" t="s">
        <v>90</v>
      </c>
      <c r="L313" s="22">
        <v>638770.68000000005</v>
      </c>
      <c r="M313" s="23">
        <v>-30104.89</v>
      </c>
      <c r="N313" s="23">
        <v>608665.79</v>
      </c>
      <c r="O313" s="18" t="s">
        <v>22</v>
      </c>
    </row>
    <row r="314" spans="1:15" s="4" customFormat="1" ht="19.25" customHeight="1" x14ac:dyDescent="0.45">
      <c r="A314" s="18" t="s">
        <v>486</v>
      </c>
      <c r="B314" s="18" t="s">
        <v>394</v>
      </c>
      <c r="C314" s="18" t="s">
        <v>395</v>
      </c>
      <c r="D314" s="18" t="s">
        <v>396</v>
      </c>
      <c r="E314" s="18" t="s">
        <v>397</v>
      </c>
      <c r="F314" s="19" t="s">
        <v>485</v>
      </c>
      <c r="G314" s="20">
        <v>45386</v>
      </c>
      <c r="H314" s="20">
        <v>45386</v>
      </c>
      <c r="I314" s="20">
        <v>45386</v>
      </c>
      <c r="J314" s="21">
        <v>1</v>
      </c>
      <c r="K314" s="18" t="s">
        <v>90</v>
      </c>
      <c r="L314" s="22">
        <v>638770</v>
      </c>
      <c r="M314" s="23">
        <v>-30104.86</v>
      </c>
      <c r="N314" s="23">
        <v>608665.14</v>
      </c>
      <c r="O314" s="18" t="s">
        <v>22</v>
      </c>
    </row>
    <row r="315" spans="1:15" s="4" customFormat="1" ht="30.4" customHeight="1" x14ac:dyDescent="0.45">
      <c r="A315" s="18" t="s">
        <v>487</v>
      </c>
      <c r="B315" s="18" t="s">
        <v>394</v>
      </c>
      <c r="C315" s="18" t="s">
        <v>395</v>
      </c>
      <c r="D315" s="18" t="s">
        <v>396</v>
      </c>
      <c r="E315" s="18" t="s">
        <v>397</v>
      </c>
      <c r="F315" s="19" t="s">
        <v>488</v>
      </c>
      <c r="G315" s="20">
        <v>45386</v>
      </c>
      <c r="H315" s="20">
        <v>45386</v>
      </c>
      <c r="I315" s="20">
        <v>45386</v>
      </c>
      <c r="J315" s="21">
        <v>1</v>
      </c>
      <c r="K315" s="18" t="s">
        <v>90</v>
      </c>
      <c r="L315" s="22">
        <v>396550</v>
      </c>
      <c r="M315" s="23">
        <v>-18689.169999999998</v>
      </c>
      <c r="N315" s="23">
        <v>377860.83</v>
      </c>
      <c r="O315" s="18" t="s">
        <v>22</v>
      </c>
    </row>
    <row r="316" spans="1:15" s="4" customFormat="1" ht="30.4" customHeight="1" x14ac:dyDescent="0.45">
      <c r="A316" s="18" t="s">
        <v>489</v>
      </c>
      <c r="B316" s="18" t="s">
        <v>394</v>
      </c>
      <c r="C316" s="18" t="s">
        <v>395</v>
      </c>
      <c r="D316" s="18" t="s">
        <v>396</v>
      </c>
      <c r="E316" s="18" t="s">
        <v>397</v>
      </c>
      <c r="F316" s="19" t="s">
        <v>488</v>
      </c>
      <c r="G316" s="20">
        <v>45386</v>
      </c>
      <c r="H316" s="20">
        <v>45386</v>
      </c>
      <c r="I316" s="20">
        <v>45386</v>
      </c>
      <c r="J316" s="21">
        <v>1</v>
      </c>
      <c r="K316" s="18" t="s">
        <v>90</v>
      </c>
      <c r="L316" s="22">
        <v>396550</v>
      </c>
      <c r="M316" s="23">
        <v>-18689.169999999998</v>
      </c>
      <c r="N316" s="23">
        <v>377860.83</v>
      </c>
      <c r="O316" s="18" t="s">
        <v>22</v>
      </c>
    </row>
    <row r="317" spans="1:15" s="4" customFormat="1" ht="19.25" customHeight="1" x14ac:dyDescent="0.45">
      <c r="A317" s="18" t="s">
        <v>490</v>
      </c>
      <c r="B317" s="18" t="s">
        <v>394</v>
      </c>
      <c r="C317" s="18" t="s">
        <v>395</v>
      </c>
      <c r="D317" s="18" t="s">
        <v>396</v>
      </c>
      <c r="E317" s="18" t="s">
        <v>397</v>
      </c>
      <c r="F317" s="19" t="s">
        <v>491</v>
      </c>
      <c r="G317" s="20">
        <v>45386</v>
      </c>
      <c r="H317" s="20">
        <v>45386</v>
      </c>
      <c r="I317" s="20">
        <v>45386</v>
      </c>
      <c r="J317" s="21">
        <v>1</v>
      </c>
      <c r="K317" s="18" t="s">
        <v>90</v>
      </c>
      <c r="L317" s="22">
        <v>660045.14</v>
      </c>
      <c r="M317" s="23">
        <v>-31107.55</v>
      </c>
      <c r="N317" s="23">
        <v>628937.59</v>
      </c>
      <c r="O317" s="18" t="s">
        <v>22</v>
      </c>
    </row>
    <row r="318" spans="1:15" s="4" customFormat="1" ht="19.25" customHeight="1" x14ac:dyDescent="0.45">
      <c r="A318" s="18" t="s">
        <v>492</v>
      </c>
      <c r="B318" s="18" t="s">
        <v>394</v>
      </c>
      <c r="C318" s="18" t="s">
        <v>395</v>
      </c>
      <c r="D318" s="18" t="s">
        <v>396</v>
      </c>
      <c r="E318" s="18" t="s">
        <v>397</v>
      </c>
      <c r="F318" s="19" t="s">
        <v>491</v>
      </c>
      <c r="G318" s="20">
        <v>45386</v>
      </c>
      <c r="H318" s="20">
        <v>45386</v>
      </c>
      <c r="I318" s="20">
        <v>45386</v>
      </c>
      <c r="J318" s="21">
        <v>1</v>
      </c>
      <c r="K318" s="18" t="s">
        <v>90</v>
      </c>
      <c r="L318" s="22">
        <v>660045.65</v>
      </c>
      <c r="M318" s="23">
        <v>-31107.57</v>
      </c>
      <c r="N318" s="23">
        <v>628938.07999999996</v>
      </c>
      <c r="O318" s="18" t="s">
        <v>22</v>
      </c>
    </row>
    <row r="319" spans="1:15" s="4" customFormat="1" ht="33" customHeight="1" x14ac:dyDescent="0.45">
      <c r="A319" s="18" t="s">
        <v>493</v>
      </c>
      <c r="B319" s="18" t="s">
        <v>394</v>
      </c>
      <c r="C319" s="18" t="s">
        <v>395</v>
      </c>
      <c r="D319" s="18" t="s">
        <v>396</v>
      </c>
      <c r="E319" s="18" t="s">
        <v>397</v>
      </c>
      <c r="F319" s="19" t="s">
        <v>494</v>
      </c>
      <c r="G319" s="20">
        <v>45386</v>
      </c>
      <c r="H319" s="20">
        <v>45386</v>
      </c>
      <c r="I319" s="20">
        <v>45386</v>
      </c>
      <c r="J319" s="21">
        <v>1</v>
      </c>
      <c r="K319" s="18" t="s">
        <v>21</v>
      </c>
      <c r="L319" s="22">
        <v>385000</v>
      </c>
      <c r="M319" s="23">
        <v>-18144.830000000002</v>
      </c>
      <c r="N319" s="23">
        <v>366855.17</v>
      </c>
      <c r="O319" s="18" t="s">
        <v>102</v>
      </c>
    </row>
    <row r="320" spans="1:15" s="4" customFormat="1" ht="33" customHeight="1" x14ac:dyDescent="0.45">
      <c r="A320" s="18" t="s">
        <v>495</v>
      </c>
      <c r="B320" s="18" t="s">
        <v>394</v>
      </c>
      <c r="C320" s="18" t="s">
        <v>395</v>
      </c>
      <c r="D320" s="18" t="s">
        <v>396</v>
      </c>
      <c r="E320" s="18" t="s">
        <v>397</v>
      </c>
      <c r="F320" s="19" t="s">
        <v>496</v>
      </c>
      <c r="G320" s="20">
        <v>45386</v>
      </c>
      <c r="H320" s="20">
        <v>45386</v>
      </c>
      <c r="I320" s="20">
        <v>45386</v>
      </c>
      <c r="J320" s="21">
        <v>1</v>
      </c>
      <c r="K320" s="18" t="s">
        <v>21</v>
      </c>
      <c r="L320" s="22">
        <v>385000</v>
      </c>
      <c r="M320" s="23">
        <v>-18144.830000000002</v>
      </c>
      <c r="N320" s="23">
        <v>366855.17</v>
      </c>
      <c r="O320" s="18" t="s">
        <v>22</v>
      </c>
    </row>
    <row r="321" spans="1:15" s="4" customFormat="1" ht="19.25" customHeight="1" x14ac:dyDescent="0.45">
      <c r="A321" s="18" t="s">
        <v>497</v>
      </c>
      <c r="B321" s="18" t="s">
        <v>394</v>
      </c>
      <c r="C321" s="18" t="s">
        <v>395</v>
      </c>
      <c r="D321" s="18" t="s">
        <v>396</v>
      </c>
      <c r="E321" s="18" t="s">
        <v>397</v>
      </c>
      <c r="F321" s="19" t="s">
        <v>491</v>
      </c>
      <c r="G321" s="20">
        <v>45386</v>
      </c>
      <c r="H321" s="20">
        <v>45386</v>
      </c>
      <c r="I321" s="20">
        <v>45386</v>
      </c>
      <c r="J321" s="21">
        <v>1</v>
      </c>
      <c r="K321" s="18" t="s">
        <v>90</v>
      </c>
      <c r="L321" s="22">
        <v>660045.65</v>
      </c>
      <c r="M321" s="23">
        <v>-31107.57</v>
      </c>
      <c r="N321" s="23">
        <v>628938.07999999996</v>
      </c>
      <c r="O321" s="18" t="s">
        <v>22</v>
      </c>
    </row>
    <row r="322" spans="1:15" s="4" customFormat="1" ht="19.25" customHeight="1" x14ac:dyDescent="0.45">
      <c r="A322" s="18" t="s">
        <v>498</v>
      </c>
      <c r="B322" s="18" t="s">
        <v>394</v>
      </c>
      <c r="C322" s="18" t="s">
        <v>395</v>
      </c>
      <c r="D322" s="18" t="s">
        <v>396</v>
      </c>
      <c r="E322" s="18" t="s">
        <v>397</v>
      </c>
      <c r="F322" s="19" t="s">
        <v>499</v>
      </c>
      <c r="G322" s="20">
        <v>45386</v>
      </c>
      <c r="H322" s="20">
        <v>45386</v>
      </c>
      <c r="I322" s="20">
        <v>45386</v>
      </c>
      <c r="J322" s="21">
        <v>1</v>
      </c>
      <c r="K322" s="18" t="s">
        <v>90</v>
      </c>
      <c r="L322" s="22">
        <v>851000</v>
      </c>
      <c r="M322" s="23">
        <v>-40107.14</v>
      </c>
      <c r="N322" s="23">
        <v>810892.86</v>
      </c>
      <c r="O322" s="18" t="s">
        <v>22</v>
      </c>
    </row>
    <row r="323" spans="1:15" s="4" customFormat="1" ht="19.25" customHeight="1" x14ac:dyDescent="0.45">
      <c r="A323" s="18" t="s">
        <v>500</v>
      </c>
      <c r="B323" s="18" t="s">
        <v>394</v>
      </c>
      <c r="C323" s="18" t="s">
        <v>395</v>
      </c>
      <c r="D323" s="18" t="s">
        <v>396</v>
      </c>
      <c r="E323" s="18" t="s">
        <v>397</v>
      </c>
      <c r="F323" s="19" t="s">
        <v>883</v>
      </c>
      <c r="G323" s="20">
        <v>45386</v>
      </c>
      <c r="H323" s="20">
        <v>45386</v>
      </c>
      <c r="I323" s="20">
        <v>45386</v>
      </c>
      <c r="J323" s="21">
        <v>1</v>
      </c>
      <c r="K323" s="18" t="s">
        <v>90</v>
      </c>
      <c r="L323" s="22">
        <v>850000</v>
      </c>
      <c r="M323" s="23">
        <v>-40060.01</v>
      </c>
      <c r="N323" s="23">
        <v>809939.99</v>
      </c>
      <c r="O323" s="18" t="s">
        <v>22</v>
      </c>
    </row>
    <row r="324" spans="1:15" s="4" customFormat="1" ht="19.25" customHeight="1" x14ac:dyDescent="0.45">
      <c r="A324" s="18" t="s">
        <v>501</v>
      </c>
      <c r="B324" s="18" t="s">
        <v>394</v>
      </c>
      <c r="C324" s="18" t="s">
        <v>395</v>
      </c>
      <c r="D324" s="18" t="s">
        <v>396</v>
      </c>
      <c r="E324" s="18" t="s">
        <v>397</v>
      </c>
      <c r="F324" s="19" t="s">
        <v>502</v>
      </c>
      <c r="G324" s="20">
        <v>45386</v>
      </c>
      <c r="H324" s="20">
        <v>45386</v>
      </c>
      <c r="I324" s="20">
        <v>45386</v>
      </c>
      <c r="J324" s="21">
        <v>2</v>
      </c>
      <c r="K324" s="18" t="s">
        <v>90</v>
      </c>
      <c r="L324" s="22">
        <f>4531500*2/3</f>
        <v>3021000</v>
      </c>
      <c r="M324" s="23">
        <f>-213566.99*2/3</f>
        <v>-142377.99333333332</v>
      </c>
      <c r="N324" s="23">
        <f>4317933.01*2/3</f>
        <v>2878622.0066666664</v>
      </c>
      <c r="O324" s="19" t="s">
        <v>22</v>
      </c>
    </row>
    <row r="325" spans="1:15" s="4" customFormat="1" ht="19.25" customHeight="1" x14ac:dyDescent="0.45">
      <c r="A325" s="18" t="s">
        <v>503</v>
      </c>
      <c r="B325" s="18"/>
      <c r="C325" s="18"/>
      <c r="D325" s="18"/>
      <c r="E325" s="18" t="s">
        <v>397</v>
      </c>
      <c r="F325" s="19" t="s">
        <v>502</v>
      </c>
      <c r="G325" s="20">
        <v>45386</v>
      </c>
      <c r="H325" s="20"/>
      <c r="I325" s="20"/>
      <c r="J325" s="21">
        <v>1</v>
      </c>
      <c r="K325" s="18" t="s">
        <v>90</v>
      </c>
      <c r="L325" s="22">
        <f>4531500*1/3</f>
        <v>1510500</v>
      </c>
      <c r="M325" s="23">
        <f>-213566.99*1/3</f>
        <v>-71188.996666666659</v>
      </c>
      <c r="N325" s="23">
        <f>4317933.01*1/3</f>
        <v>1439311.0033333332</v>
      </c>
      <c r="O325" s="19" t="s">
        <v>102</v>
      </c>
    </row>
    <row r="326" spans="1:15" s="4" customFormat="1" ht="19.25" customHeight="1" x14ac:dyDescent="0.45">
      <c r="A326" s="18" t="s">
        <v>504</v>
      </c>
      <c r="B326" s="18" t="s">
        <v>394</v>
      </c>
      <c r="C326" s="18" t="s">
        <v>395</v>
      </c>
      <c r="D326" s="18" t="s">
        <v>396</v>
      </c>
      <c r="E326" s="18" t="s">
        <v>397</v>
      </c>
      <c r="F326" s="19" t="s">
        <v>502</v>
      </c>
      <c r="G326" s="20">
        <v>45386</v>
      </c>
      <c r="H326" s="20">
        <v>45386</v>
      </c>
      <c r="I326" s="20">
        <v>45386</v>
      </c>
      <c r="J326" s="21">
        <v>1</v>
      </c>
      <c r="K326" s="18" t="s">
        <v>90</v>
      </c>
      <c r="L326" s="22">
        <v>20000</v>
      </c>
      <c r="M326" s="23">
        <v>-942.59</v>
      </c>
      <c r="N326" s="23">
        <v>19057.41</v>
      </c>
      <c r="O326" s="19" t="s">
        <v>22</v>
      </c>
    </row>
    <row r="327" spans="1:15" s="4" customFormat="1" ht="19.25" customHeight="1" x14ac:dyDescent="0.45">
      <c r="A327" s="18" t="s">
        <v>505</v>
      </c>
      <c r="B327" s="18" t="s">
        <v>423</v>
      </c>
      <c r="C327" s="18" t="s">
        <v>424</v>
      </c>
      <c r="D327" s="18" t="s">
        <v>425</v>
      </c>
      <c r="E327" s="18" t="s">
        <v>426</v>
      </c>
      <c r="F327" s="19" t="s">
        <v>476</v>
      </c>
      <c r="G327" s="20">
        <v>45386</v>
      </c>
      <c r="H327" s="20">
        <v>45386</v>
      </c>
      <c r="I327" s="20">
        <v>45386</v>
      </c>
      <c r="J327" s="21">
        <v>0.01</v>
      </c>
      <c r="K327" s="18" t="s">
        <v>276</v>
      </c>
      <c r="L327" s="22">
        <v>12266.48</v>
      </c>
      <c r="M327" s="23">
        <v>-365.7</v>
      </c>
      <c r="N327" s="23">
        <v>11900.78</v>
      </c>
      <c r="O327" s="19" t="s">
        <v>22</v>
      </c>
    </row>
    <row r="328" spans="1:15" s="4" customFormat="1" ht="19.25" customHeight="1" x14ac:dyDescent="0.45">
      <c r="A328" s="18" t="s">
        <v>506</v>
      </c>
      <c r="B328" s="18" t="s">
        <v>423</v>
      </c>
      <c r="C328" s="18" t="s">
        <v>424</v>
      </c>
      <c r="D328" s="18" t="s">
        <v>425</v>
      </c>
      <c r="E328" s="18" t="s">
        <v>426</v>
      </c>
      <c r="F328" s="19" t="s">
        <v>476</v>
      </c>
      <c r="G328" s="20">
        <v>45386</v>
      </c>
      <c r="H328" s="20">
        <v>45386</v>
      </c>
      <c r="I328" s="20">
        <v>45386</v>
      </c>
      <c r="J328" s="21">
        <v>0.2</v>
      </c>
      <c r="K328" s="18" t="s">
        <v>276</v>
      </c>
      <c r="L328" s="22">
        <v>1435630.74</v>
      </c>
      <c r="M328" s="23">
        <v>-42800.36</v>
      </c>
      <c r="N328" s="23">
        <v>1392830.38</v>
      </c>
      <c r="O328" s="19" t="s">
        <v>22</v>
      </c>
    </row>
    <row r="329" spans="1:15" s="4" customFormat="1" ht="19.25" customHeight="1" x14ac:dyDescent="0.45">
      <c r="A329" s="18" t="s">
        <v>507</v>
      </c>
      <c r="B329" s="18" t="s">
        <v>423</v>
      </c>
      <c r="C329" s="18" t="s">
        <v>424</v>
      </c>
      <c r="D329" s="18" t="s">
        <v>425</v>
      </c>
      <c r="E329" s="18" t="s">
        <v>426</v>
      </c>
      <c r="F329" s="19" t="s">
        <v>476</v>
      </c>
      <c r="G329" s="20">
        <v>45386</v>
      </c>
      <c r="H329" s="20">
        <v>45386</v>
      </c>
      <c r="I329" s="20">
        <v>45386</v>
      </c>
      <c r="J329" s="21">
        <v>7.0000000000000007E-2</v>
      </c>
      <c r="K329" s="18" t="s">
        <v>276</v>
      </c>
      <c r="L329" s="22">
        <v>180923.4</v>
      </c>
      <c r="M329" s="23">
        <v>-5393.86</v>
      </c>
      <c r="N329" s="23">
        <v>175529.54</v>
      </c>
      <c r="O329" s="19" t="s">
        <v>22</v>
      </c>
    </row>
    <row r="330" spans="1:15" s="4" customFormat="1" ht="19.25" customHeight="1" x14ac:dyDescent="0.45">
      <c r="A330" s="18" t="s">
        <v>508</v>
      </c>
      <c r="B330" s="18" t="s">
        <v>423</v>
      </c>
      <c r="C330" s="18" t="s">
        <v>424</v>
      </c>
      <c r="D330" s="18" t="s">
        <v>425</v>
      </c>
      <c r="E330" s="18" t="s">
        <v>426</v>
      </c>
      <c r="F330" s="19" t="s">
        <v>476</v>
      </c>
      <c r="G330" s="20">
        <v>45386</v>
      </c>
      <c r="H330" s="20">
        <v>45386</v>
      </c>
      <c r="I330" s="20">
        <v>45386</v>
      </c>
      <c r="J330" s="21">
        <v>0.24</v>
      </c>
      <c r="K330" s="18" t="s">
        <v>276</v>
      </c>
      <c r="L330" s="22">
        <v>1454152</v>
      </c>
      <c r="M330" s="23">
        <v>-43352.53</v>
      </c>
      <c r="N330" s="23">
        <v>1410799.47</v>
      </c>
      <c r="O330" s="19" t="s">
        <v>22</v>
      </c>
    </row>
    <row r="331" spans="1:15" s="4" customFormat="1" ht="19.25" customHeight="1" x14ac:dyDescent="0.45">
      <c r="A331" s="18" t="s">
        <v>509</v>
      </c>
      <c r="B331" s="18" t="s">
        <v>423</v>
      </c>
      <c r="C331" s="18" t="s">
        <v>424</v>
      </c>
      <c r="D331" s="18" t="s">
        <v>425</v>
      </c>
      <c r="E331" s="18" t="s">
        <v>426</v>
      </c>
      <c r="F331" s="19" t="s">
        <v>427</v>
      </c>
      <c r="G331" s="20">
        <v>45386</v>
      </c>
      <c r="H331" s="20">
        <v>45386</v>
      </c>
      <c r="I331" s="20">
        <v>45386</v>
      </c>
      <c r="J331" s="21">
        <v>0.61</v>
      </c>
      <c r="K331" s="18" t="s">
        <v>276</v>
      </c>
      <c r="L331" s="22">
        <v>1711837.29</v>
      </c>
      <c r="M331" s="23">
        <v>-51034.89</v>
      </c>
      <c r="N331" s="23">
        <v>1660802.4</v>
      </c>
      <c r="O331" s="19" t="s">
        <v>22</v>
      </c>
    </row>
    <row r="332" spans="1:15" s="4" customFormat="1" ht="19.25" customHeight="1" x14ac:dyDescent="0.45">
      <c r="A332" s="18" t="s">
        <v>510</v>
      </c>
      <c r="B332" s="18" t="s">
        <v>423</v>
      </c>
      <c r="C332" s="18" t="s">
        <v>424</v>
      </c>
      <c r="D332" s="18" t="s">
        <v>425</v>
      </c>
      <c r="E332" s="18" t="s">
        <v>426</v>
      </c>
      <c r="F332" s="19" t="s">
        <v>427</v>
      </c>
      <c r="G332" s="20">
        <v>45386</v>
      </c>
      <c r="H332" s="20">
        <v>45386</v>
      </c>
      <c r="I332" s="20">
        <v>45386</v>
      </c>
      <c r="J332" s="21">
        <v>0.06</v>
      </c>
      <c r="K332" s="18" t="s">
        <v>276</v>
      </c>
      <c r="L332" s="22">
        <v>63245.2</v>
      </c>
      <c r="M332" s="23">
        <v>-1885.52</v>
      </c>
      <c r="N332" s="23">
        <v>61359.68</v>
      </c>
      <c r="O332" s="19" t="s">
        <v>22</v>
      </c>
    </row>
    <row r="333" spans="1:15" s="4" customFormat="1" ht="19.25" customHeight="1" x14ac:dyDescent="0.45">
      <c r="A333" s="18" t="s">
        <v>511</v>
      </c>
      <c r="B333" s="18" t="s">
        <v>423</v>
      </c>
      <c r="C333" s="18" t="s">
        <v>424</v>
      </c>
      <c r="D333" s="18" t="s">
        <v>425</v>
      </c>
      <c r="E333" s="18" t="s">
        <v>426</v>
      </c>
      <c r="F333" s="19" t="s">
        <v>427</v>
      </c>
      <c r="G333" s="20">
        <v>45386</v>
      </c>
      <c r="H333" s="20">
        <v>45386</v>
      </c>
      <c r="I333" s="20">
        <v>45386</v>
      </c>
      <c r="J333" s="21">
        <v>0.41</v>
      </c>
      <c r="K333" s="18" t="s">
        <v>276</v>
      </c>
      <c r="L333" s="22">
        <v>216480</v>
      </c>
      <c r="M333" s="23">
        <v>-6453.9</v>
      </c>
      <c r="N333" s="23">
        <v>210026.1</v>
      </c>
      <c r="O333" s="19" t="s">
        <v>22</v>
      </c>
    </row>
    <row r="334" spans="1:15" s="4" customFormat="1" ht="19.25" customHeight="1" x14ac:dyDescent="0.45">
      <c r="A334" s="18" t="s">
        <v>512</v>
      </c>
      <c r="B334" s="18" t="s">
        <v>423</v>
      </c>
      <c r="C334" s="18" t="s">
        <v>424</v>
      </c>
      <c r="D334" s="18" t="s">
        <v>425</v>
      </c>
      <c r="E334" s="18" t="s">
        <v>426</v>
      </c>
      <c r="F334" s="19" t="s">
        <v>427</v>
      </c>
      <c r="G334" s="20">
        <v>45386</v>
      </c>
      <c r="H334" s="20">
        <v>45386</v>
      </c>
      <c r="I334" s="20">
        <v>45386</v>
      </c>
      <c r="J334" s="21">
        <v>0.45</v>
      </c>
      <c r="K334" s="18" t="s">
        <v>276</v>
      </c>
      <c r="L334" s="22">
        <v>370782.54</v>
      </c>
      <c r="M334" s="23">
        <v>-11054.11</v>
      </c>
      <c r="N334" s="23">
        <v>359728.43</v>
      </c>
      <c r="O334" s="19" t="s">
        <v>22</v>
      </c>
    </row>
    <row r="335" spans="1:15" s="4" customFormat="1" ht="19.25" customHeight="1" x14ac:dyDescent="0.45">
      <c r="A335" s="18" t="s">
        <v>513</v>
      </c>
      <c r="B335" s="18" t="s">
        <v>423</v>
      </c>
      <c r="C335" s="18" t="s">
        <v>424</v>
      </c>
      <c r="D335" s="18" t="s">
        <v>425</v>
      </c>
      <c r="E335" s="18" t="s">
        <v>426</v>
      </c>
      <c r="F335" s="19" t="s">
        <v>427</v>
      </c>
      <c r="G335" s="20">
        <v>45386</v>
      </c>
      <c r="H335" s="20">
        <v>45386</v>
      </c>
      <c r="I335" s="20">
        <v>45386</v>
      </c>
      <c r="J335" s="21">
        <v>0.06</v>
      </c>
      <c r="K335" s="18" t="s">
        <v>276</v>
      </c>
      <c r="L335" s="22">
        <v>49490.57</v>
      </c>
      <c r="M335" s="23">
        <v>-1475.46</v>
      </c>
      <c r="N335" s="23">
        <v>48015.11</v>
      </c>
      <c r="O335" s="19" t="s">
        <v>22</v>
      </c>
    </row>
    <row r="336" spans="1:15" s="4" customFormat="1" ht="19.25" customHeight="1" x14ac:dyDescent="0.45">
      <c r="A336" s="18" t="s">
        <v>514</v>
      </c>
      <c r="B336" s="18" t="s">
        <v>423</v>
      </c>
      <c r="C336" s="18" t="s">
        <v>424</v>
      </c>
      <c r="D336" s="18" t="s">
        <v>425</v>
      </c>
      <c r="E336" s="18" t="s">
        <v>426</v>
      </c>
      <c r="F336" s="19" t="s">
        <v>427</v>
      </c>
      <c r="G336" s="20">
        <v>45386</v>
      </c>
      <c r="H336" s="20">
        <v>45386</v>
      </c>
      <c r="I336" s="20">
        <v>45386</v>
      </c>
      <c r="J336" s="21">
        <v>0.08</v>
      </c>
      <c r="K336" s="18" t="s">
        <v>276</v>
      </c>
      <c r="L336" s="22">
        <v>101052</v>
      </c>
      <c r="M336" s="23">
        <v>-3012.66</v>
      </c>
      <c r="N336" s="23">
        <v>98039.34</v>
      </c>
      <c r="O336" s="19" t="s">
        <v>22</v>
      </c>
    </row>
    <row r="337" spans="1:15" s="4" customFormat="1" ht="19.25" customHeight="1" x14ac:dyDescent="0.45">
      <c r="A337" s="18" t="s">
        <v>515</v>
      </c>
      <c r="B337" s="18" t="s">
        <v>423</v>
      </c>
      <c r="C337" s="18" t="s">
        <v>424</v>
      </c>
      <c r="D337" s="18" t="s">
        <v>425</v>
      </c>
      <c r="E337" s="18" t="s">
        <v>426</v>
      </c>
      <c r="F337" s="19" t="s">
        <v>427</v>
      </c>
      <c r="G337" s="20">
        <v>45386</v>
      </c>
      <c r="H337" s="20">
        <v>45386</v>
      </c>
      <c r="I337" s="20">
        <v>45386</v>
      </c>
      <c r="J337" s="21">
        <v>0.12</v>
      </c>
      <c r="K337" s="18" t="s">
        <v>276</v>
      </c>
      <c r="L337" s="22">
        <v>861378.44</v>
      </c>
      <c r="M337" s="23">
        <v>-25680.22</v>
      </c>
      <c r="N337" s="23">
        <v>835698.22</v>
      </c>
      <c r="O337" s="19" t="s">
        <v>22</v>
      </c>
    </row>
    <row r="338" spans="1:15" s="4" customFormat="1" ht="19.25" customHeight="1" x14ac:dyDescent="0.45">
      <c r="A338" s="18" t="s">
        <v>516</v>
      </c>
      <c r="B338" s="18" t="s">
        <v>423</v>
      </c>
      <c r="C338" s="18" t="s">
        <v>424</v>
      </c>
      <c r="D338" s="18" t="s">
        <v>425</v>
      </c>
      <c r="E338" s="18" t="s">
        <v>426</v>
      </c>
      <c r="F338" s="19" t="s">
        <v>427</v>
      </c>
      <c r="G338" s="20">
        <v>45386</v>
      </c>
      <c r="H338" s="20">
        <v>45386</v>
      </c>
      <c r="I338" s="20">
        <v>45386</v>
      </c>
      <c r="J338" s="21">
        <v>0.13</v>
      </c>
      <c r="K338" s="18" t="s">
        <v>276</v>
      </c>
      <c r="L338" s="22">
        <v>336000.6</v>
      </c>
      <c r="M338" s="23">
        <v>-10017.16</v>
      </c>
      <c r="N338" s="23">
        <v>325983.44</v>
      </c>
      <c r="O338" s="19" t="s">
        <v>22</v>
      </c>
    </row>
    <row r="339" spans="1:15" s="4" customFormat="1" ht="19.25" customHeight="1" x14ac:dyDescent="0.45">
      <c r="A339" s="18" t="s">
        <v>517</v>
      </c>
      <c r="B339" s="18" t="s">
        <v>423</v>
      </c>
      <c r="C339" s="18" t="s">
        <v>424</v>
      </c>
      <c r="D339" s="18" t="s">
        <v>425</v>
      </c>
      <c r="E339" s="18" t="s">
        <v>426</v>
      </c>
      <c r="F339" s="19" t="s">
        <v>427</v>
      </c>
      <c r="G339" s="20">
        <v>45386</v>
      </c>
      <c r="H339" s="20">
        <v>45386</v>
      </c>
      <c r="I339" s="20">
        <v>45386</v>
      </c>
      <c r="J339" s="21">
        <v>0.09</v>
      </c>
      <c r="K339" s="18" t="s">
        <v>276</v>
      </c>
      <c r="L339" s="22">
        <v>549045</v>
      </c>
      <c r="M339" s="23">
        <v>-16368.64</v>
      </c>
      <c r="N339" s="23">
        <v>532676.36</v>
      </c>
      <c r="O339" s="19" t="s">
        <v>22</v>
      </c>
    </row>
    <row r="340" spans="1:15" s="4" customFormat="1" ht="19.25" customHeight="1" x14ac:dyDescent="0.45">
      <c r="A340" s="18" t="s">
        <v>518</v>
      </c>
      <c r="B340" s="18" t="s">
        <v>423</v>
      </c>
      <c r="C340" s="18" t="s">
        <v>424</v>
      </c>
      <c r="D340" s="18" t="s">
        <v>425</v>
      </c>
      <c r="E340" s="18" t="s">
        <v>426</v>
      </c>
      <c r="F340" s="19" t="s">
        <v>427</v>
      </c>
      <c r="G340" s="20">
        <v>45386</v>
      </c>
      <c r="H340" s="20">
        <v>45386</v>
      </c>
      <c r="I340" s="20">
        <v>45386</v>
      </c>
      <c r="J340" s="21">
        <v>0.71</v>
      </c>
      <c r="K340" s="18" t="s">
        <v>276</v>
      </c>
      <c r="L340" s="22">
        <v>1403226.25</v>
      </c>
      <c r="M340" s="23">
        <v>-41834.29</v>
      </c>
      <c r="N340" s="23">
        <v>1361391.96</v>
      </c>
      <c r="O340" s="19" t="s">
        <v>22</v>
      </c>
    </row>
    <row r="341" spans="1:15" s="4" customFormat="1" ht="19.25" customHeight="1" x14ac:dyDescent="0.45">
      <c r="A341" s="18" t="s">
        <v>519</v>
      </c>
      <c r="B341" s="18" t="s">
        <v>423</v>
      </c>
      <c r="C341" s="18" t="s">
        <v>424</v>
      </c>
      <c r="D341" s="18" t="s">
        <v>425</v>
      </c>
      <c r="E341" s="18" t="s">
        <v>426</v>
      </c>
      <c r="F341" s="19" t="s">
        <v>427</v>
      </c>
      <c r="G341" s="20">
        <v>45386</v>
      </c>
      <c r="H341" s="20">
        <v>45386</v>
      </c>
      <c r="I341" s="20">
        <v>45386</v>
      </c>
      <c r="J341" s="21">
        <v>7.0000000000000007E-2</v>
      </c>
      <c r="K341" s="18" t="s">
        <v>276</v>
      </c>
      <c r="L341" s="22">
        <v>202806.24</v>
      </c>
      <c r="M341" s="23">
        <v>-6046.25</v>
      </c>
      <c r="N341" s="23">
        <v>196759.99</v>
      </c>
      <c r="O341" s="19" t="s">
        <v>22</v>
      </c>
    </row>
    <row r="342" spans="1:15" s="4" customFormat="1" ht="19.25" customHeight="1" x14ac:dyDescent="0.45">
      <c r="A342" s="18" t="s">
        <v>520</v>
      </c>
      <c r="B342" s="18" t="s">
        <v>423</v>
      </c>
      <c r="C342" s="18" t="s">
        <v>424</v>
      </c>
      <c r="D342" s="18" t="s">
        <v>425</v>
      </c>
      <c r="E342" s="18" t="s">
        <v>426</v>
      </c>
      <c r="F342" s="19" t="s">
        <v>427</v>
      </c>
      <c r="G342" s="20">
        <v>45386</v>
      </c>
      <c r="H342" s="20">
        <v>45386</v>
      </c>
      <c r="I342" s="20">
        <v>45386</v>
      </c>
      <c r="J342" s="21">
        <v>0.71</v>
      </c>
      <c r="K342" s="18" t="s">
        <v>276</v>
      </c>
      <c r="L342" s="22">
        <v>765573.97</v>
      </c>
      <c r="M342" s="23">
        <v>-22824</v>
      </c>
      <c r="N342" s="23">
        <v>742749.97</v>
      </c>
      <c r="O342" s="19" t="s">
        <v>22</v>
      </c>
    </row>
    <row r="343" spans="1:15" s="4" customFormat="1" ht="19.25" customHeight="1" x14ac:dyDescent="0.45">
      <c r="A343" s="18" t="s">
        <v>521</v>
      </c>
      <c r="B343" s="18" t="s">
        <v>423</v>
      </c>
      <c r="C343" s="18" t="s">
        <v>424</v>
      </c>
      <c r="D343" s="18" t="s">
        <v>425</v>
      </c>
      <c r="E343" s="18" t="s">
        <v>426</v>
      </c>
      <c r="F343" s="19" t="s">
        <v>427</v>
      </c>
      <c r="G343" s="20">
        <v>45386</v>
      </c>
      <c r="H343" s="20">
        <v>45386</v>
      </c>
      <c r="I343" s="20">
        <v>45386</v>
      </c>
      <c r="J343" s="21">
        <v>0.86</v>
      </c>
      <c r="K343" s="18" t="s">
        <v>276</v>
      </c>
      <c r="L343" s="22">
        <v>362356.79</v>
      </c>
      <c r="M343" s="23">
        <v>-10802.92</v>
      </c>
      <c r="N343" s="23">
        <v>351553.87</v>
      </c>
      <c r="O343" s="19" t="s">
        <v>22</v>
      </c>
    </row>
    <row r="344" spans="1:15" s="4" customFormat="1" ht="19.25" customHeight="1" x14ac:dyDescent="0.45">
      <c r="A344" s="18" t="s">
        <v>522</v>
      </c>
      <c r="B344" s="18" t="s">
        <v>423</v>
      </c>
      <c r="C344" s="18" t="s">
        <v>424</v>
      </c>
      <c r="D344" s="18" t="s">
        <v>425</v>
      </c>
      <c r="E344" s="18" t="s">
        <v>426</v>
      </c>
      <c r="F344" s="19" t="s">
        <v>427</v>
      </c>
      <c r="G344" s="20">
        <v>45386</v>
      </c>
      <c r="H344" s="20">
        <v>45386</v>
      </c>
      <c r="I344" s="20">
        <v>45386</v>
      </c>
      <c r="J344" s="21">
        <v>0.52</v>
      </c>
      <c r="K344" s="18" t="s">
        <v>276</v>
      </c>
      <c r="L344" s="22">
        <v>319053.8</v>
      </c>
      <c r="M344" s="23">
        <v>-9511.93</v>
      </c>
      <c r="N344" s="23">
        <v>309541.87</v>
      </c>
      <c r="O344" s="19" t="s">
        <v>22</v>
      </c>
    </row>
    <row r="345" spans="1:15" s="4" customFormat="1" ht="19.25" customHeight="1" x14ac:dyDescent="0.45">
      <c r="A345" s="18" t="s">
        <v>523</v>
      </c>
      <c r="B345" s="18" t="s">
        <v>423</v>
      </c>
      <c r="C345" s="18" t="s">
        <v>424</v>
      </c>
      <c r="D345" s="18" t="s">
        <v>425</v>
      </c>
      <c r="E345" s="18" t="s">
        <v>426</v>
      </c>
      <c r="F345" s="19" t="s">
        <v>427</v>
      </c>
      <c r="G345" s="20">
        <v>45386</v>
      </c>
      <c r="H345" s="20">
        <v>45386</v>
      </c>
      <c r="I345" s="20">
        <v>45386</v>
      </c>
      <c r="J345" s="21">
        <v>0.04</v>
      </c>
      <c r="K345" s="18" t="s">
        <v>276</v>
      </c>
      <c r="L345" s="22">
        <v>21120</v>
      </c>
      <c r="M345" s="23">
        <v>-629.65</v>
      </c>
      <c r="N345" s="23">
        <v>20490.349999999999</v>
      </c>
      <c r="O345" s="19" t="s">
        <v>22</v>
      </c>
    </row>
    <row r="346" spans="1:15" s="4" customFormat="1" ht="19.25" customHeight="1" x14ac:dyDescent="0.45">
      <c r="A346" s="18" t="s">
        <v>524</v>
      </c>
      <c r="B346" s="18" t="s">
        <v>423</v>
      </c>
      <c r="C346" s="18" t="s">
        <v>424</v>
      </c>
      <c r="D346" s="18" t="s">
        <v>425</v>
      </c>
      <c r="E346" s="18" t="s">
        <v>426</v>
      </c>
      <c r="F346" s="19" t="s">
        <v>427</v>
      </c>
      <c r="G346" s="20">
        <v>45386</v>
      </c>
      <c r="H346" s="20">
        <v>45386</v>
      </c>
      <c r="I346" s="20">
        <v>45386</v>
      </c>
      <c r="J346" s="21">
        <v>0.28000000000000003</v>
      </c>
      <c r="K346" s="18" t="s">
        <v>276</v>
      </c>
      <c r="L346" s="22">
        <v>21135.16</v>
      </c>
      <c r="M346" s="23">
        <v>-630.1</v>
      </c>
      <c r="N346" s="23">
        <v>20505.060000000001</v>
      </c>
      <c r="O346" s="19" t="s">
        <v>22</v>
      </c>
    </row>
    <row r="347" spans="1:15" s="4" customFormat="1" ht="19.25" customHeight="1" x14ac:dyDescent="0.45">
      <c r="A347" s="18" t="s">
        <v>525</v>
      </c>
      <c r="B347" s="18" t="s">
        <v>423</v>
      </c>
      <c r="C347" s="18" t="s">
        <v>424</v>
      </c>
      <c r="D347" s="18" t="s">
        <v>425</v>
      </c>
      <c r="E347" s="18" t="s">
        <v>426</v>
      </c>
      <c r="F347" s="19" t="s">
        <v>427</v>
      </c>
      <c r="G347" s="20">
        <v>45386</v>
      </c>
      <c r="H347" s="20">
        <v>45386</v>
      </c>
      <c r="I347" s="20">
        <v>45386</v>
      </c>
      <c r="J347" s="21">
        <v>0.72</v>
      </c>
      <c r="K347" s="18" t="s">
        <v>276</v>
      </c>
      <c r="L347" s="22">
        <v>10440</v>
      </c>
      <c r="M347" s="23">
        <v>-311.25</v>
      </c>
      <c r="N347" s="23">
        <v>10128.75</v>
      </c>
      <c r="O347" s="19" t="s">
        <v>22</v>
      </c>
    </row>
    <row r="348" spans="1:15" s="4" customFormat="1" ht="19.25" customHeight="1" x14ac:dyDescent="0.45">
      <c r="A348" s="18" t="s">
        <v>526</v>
      </c>
      <c r="B348" s="18" t="s">
        <v>423</v>
      </c>
      <c r="C348" s="18" t="s">
        <v>424</v>
      </c>
      <c r="D348" s="18" t="s">
        <v>425</v>
      </c>
      <c r="E348" s="18" t="s">
        <v>426</v>
      </c>
      <c r="F348" s="19" t="s">
        <v>427</v>
      </c>
      <c r="G348" s="20">
        <v>45386</v>
      </c>
      <c r="H348" s="20">
        <v>45386</v>
      </c>
      <c r="I348" s="20">
        <v>45386</v>
      </c>
      <c r="J348" s="21">
        <v>0.15</v>
      </c>
      <c r="K348" s="18" t="s">
        <v>276</v>
      </c>
      <c r="L348" s="22">
        <v>125816.1</v>
      </c>
      <c r="M348" s="23">
        <v>-3750.95</v>
      </c>
      <c r="N348" s="23">
        <v>122065.15</v>
      </c>
      <c r="O348" s="19" t="s">
        <v>22</v>
      </c>
    </row>
    <row r="349" spans="1:15" s="4" customFormat="1" ht="19.25" customHeight="1" x14ac:dyDescent="0.45">
      <c r="A349" s="18" t="s">
        <v>527</v>
      </c>
      <c r="B349" s="18" t="s">
        <v>423</v>
      </c>
      <c r="C349" s="18" t="s">
        <v>424</v>
      </c>
      <c r="D349" s="18" t="s">
        <v>425</v>
      </c>
      <c r="E349" s="18" t="s">
        <v>426</v>
      </c>
      <c r="F349" s="19" t="s">
        <v>427</v>
      </c>
      <c r="G349" s="20">
        <v>45386</v>
      </c>
      <c r="H349" s="20">
        <v>45386</v>
      </c>
      <c r="I349" s="20">
        <v>45386</v>
      </c>
      <c r="J349" s="21">
        <v>0.09</v>
      </c>
      <c r="K349" s="18" t="s">
        <v>276</v>
      </c>
      <c r="L349" s="22">
        <v>77186.14</v>
      </c>
      <c r="M349" s="23">
        <v>-2301.15</v>
      </c>
      <c r="N349" s="23">
        <v>74884.990000000005</v>
      </c>
      <c r="O349" s="19" t="s">
        <v>22</v>
      </c>
    </row>
    <row r="350" spans="1:15" s="4" customFormat="1" ht="19.25" customHeight="1" x14ac:dyDescent="0.45">
      <c r="A350" s="18" t="s">
        <v>528</v>
      </c>
      <c r="B350" s="18" t="s">
        <v>423</v>
      </c>
      <c r="C350" s="18" t="s">
        <v>424</v>
      </c>
      <c r="D350" s="18" t="s">
        <v>425</v>
      </c>
      <c r="E350" s="18" t="s">
        <v>426</v>
      </c>
      <c r="F350" s="19" t="s">
        <v>427</v>
      </c>
      <c r="G350" s="20">
        <v>45386</v>
      </c>
      <c r="H350" s="20">
        <v>45386</v>
      </c>
      <c r="I350" s="20">
        <v>45386</v>
      </c>
      <c r="J350" s="21">
        <v>0.04</v>
      </c>
      <c r="K350" s="18" t="s">
        <v>276</v>
      </c>
      <c r="L350" s="22">
        <v>50268.05</v>
      </c>
      <c r="M350" s="23">
        <v>-1498.64</v>
      </c>
      <c r="N350" s="23">
        <v>48769.41</v>
      </c>
      <c r="O350" s="19" t="s">
        <v>22</v>
      </c>
    </row>
    <row r="351" spans="1:15" s="4" customFormat="1" ht="19.25" customHeight="1" x14ac:dyDescent="0.45">
      <c r="A351" s="18" t="s">
        <v>529</v>
      </c>
      <c r="B351" s="18" t="s">
        <v>423</v>
      </c>
      <c r="C351" s="18" t="s">
        <v>424</v>
      </c>
      <c r="D351" s="18" t="s">
        <v>425</v>
      </c>
      <c r="E351" s="18" t="s">
        <v>426</v>
      </c>
      <c r="F351" s="19" t="s">
        <v>427</v>
      </c>
      <c r="G351" s="20">
        <v>45386</v>
      </c>
      <c r="H351" s="20">
        <v>45386</v>
      </c>
      <c r="I351" s="20">
        <v>45386</v>
      </c>
      <c r="J351" s="21">
        <v>0.35</v>
      </c>
      <c r="K351" s="18" t="s">
        <v>276</v>
      </c>
      <c r="L351" s="22">
        <v>2538127.4</v>
      </c>
      <c r="M351" s="23">
        <v>-75669.02</v>
      </c>
      <c r="N351" s="23">
        <v>2462458.38</v>
      </c>
      <c r="O351" s="19" t="s">
        <v>22</v>
      </c>
    </row>
    <row r="352" spans="1:15" s="4" customFormat="1" ht="19.25" customHeight="1" x14ac:dyDescent="0.45">
      <c r="A352" s="18" t="s">
        <v>530</v>
      </c>
      <c r="B352" s="18" t="s">
        <v>423</v>
      </c>
      <c r="C352" s="18" t="s">
        <v>424</v>
      </c>
      <c r="D352" s="18" t="s">
        <v>425</v>
      </c>
      <c r="E352" s="18" t="s">
        <v>426</v>
      </c>
      <c r="F352" s="19" t="s">
        <v>427</v>
      </c>
      <c r="G352" s="20">
        <v>45386</v>
      </c>
      <c r="H352" s="20">
        <v>45386</v>
      </c>
      <c r="I352" s="20">
        <v>45386</v>
      </c>
      <c r="J352" s="21">
        <v>0.24</v>
      </c>
      <c r="K352" s="18" t="s">
        <v>276</v>
      </c>
      <c r="L352" s="22">
        <v>630647.28</v>
      </c>
      <c r="M352" s="23">
        <v>-18801.439999999999</v>
      </c>
      <c r="N352" s="23">
        <v>611845.84</v>
      </c>
      <c r="O352" s="19" t="s">
        <v>22</v>
      </c>
    </row>
    <row r="353" spans="1:15" s="4" customFormat="1" ht="19.25" customHeight="1" x14ac:dyDescent="0.45">
      <c r="A353" s="18" t="s">
        <v>531</v>
      </c>
      <c r="B353" s="18" t="s">
        <v>423</v>
      </c>
      <c r="C353" s="18" t="s">
        <v>424</v>
      </c>
      <c r="D353" s="18" t="s">
        <v>425</v>
      </c>
      <c r="E353" s="18" t="s">
        <v>426</v>
      </c>
      <c r="F353" s="19" t="s">
        <v>427</v>
      </c>
      <c r="G353" s="20">
        <v>45386</v>
      </c>
      <c r="H353" s="20">
        <v>45386</v>
      </c>
      <c r="I353" s="20">
        <v>45386</v>
      </c>
      <c r="J353" s="21">
        <v>0.1</v>
      </c>
      <c r="K353" s="18" t="s">
        <v>276</v>
      </c>
      <c r="L353" s="22">
        <v>628351.5</v>
      </c>
      <c r="M353" s="23">
        <v>-18733</v>
      </c>
      <c r="N353" s="23">
        <v>609618.5</v>
      </c>
      <c r="O353" s="19" t="s">
        <v>22</v>
      </c>
    </row>
    <row r="354" spans="1:15" s="4" customFormat="1" ht="19.25" customHeight="1" x14ac:dyDescent="0.45">
      <c r="A354" s="18" t="s">
        <v>532</v>
      </c>
      <c r="B354" s="18" t="s">
        <v>423</v>
      </c>
      <c r="C354" s="18" t="s">
        <v>424</v>
      </c>
      <c r="D354" s="18" t="s">
        <v>425</v>
      </c>
      <c r="E354" s="18" t="s">
        <v>426</v>
      </c>
      <c r="F354" s="19" t="s">
        <v>427</v>
      </c>
      <c r="G354" s="20">
        <v>45386</v>
      </c>
      <c r="H354" s="20">
        <v>45386</v>
      </c>
      <c r="I354" s="20">
        <v>45386</v>
      </c>
      <c r="J354" s="21">
        <v>0.05</v>
      </c>
      <c r="K354" s="18" t="s">
        <v>276</v>
      </c>
      <c r="L354" s="22">
        <v>136169.9</v>
      </c>
      <c r="M354" s="23">
        <v>-4059.62</v>
      </c>
      <c r="N354" s="23">
        <v>132110.28</v>
      </c>
      <c r="O354" s="19" t="s">
        <v>22</v>
      </c>
    </row>
    <row r="355" spans="1:15" s="4" customFormat="1" ht="19.25" customHeight="1" x14ac:dyDescent="0.45">
      <c r="A355" s="18" t="s">
        <v>533</v>
      </c>
      <c r="B355" s="18" t="s">
        <v>423</v>
      </c>
      <c r="C355" s="18" t="s">
        <v>424</v>
      </c>
      <c r="D355" s="18" t="s">
        <v>425</v>
      </c>
      <c r="E355" s="18" t="s">
        <v>426</v>
      </c>
      <c r="F355" s="19" t="s">
        <v>427</v>
      </c>
      <c r="G355" s="20">
        <v>45386</v>
      </c>
      <c r="H355" s="20">
        <v>45386</v>
      </c>
      <c r="I355" s="20">
        <v>45386</v>
      </c>
      <c r="J355" s="21">
        <v>0.62</v>
      </c>
      <c r="K355" s="18" t="s">
        <v>276</v>
      </c>
      <c r="L355" s="22">
        <v>671764.2</v>
      </c>
      <c r="M355" s="23">
        <v>-20027.259999999998</v>
      </c>
      <c r="N355" s="23">
        <v>651736.93999999994</v>
      </c>
      <c r="O355" s="19" t="s">
        <v>22</v>
      </c>
    </row>
    <row r="356" spans="1:15" s="4" customFormat="1" ht="19.25" customHeight="1" x14ac:dyDescent="0.45">
      <c r="A356" s="18" t="s">
        <v>534</v>
      </c>
      <c r="B356" s="18" t="s">
        <v>423</v>
      </c>
      <c r="C356" s="18" t="s">
        <v>424</v>
      </c>
      <c r="D356" s="18" t="s">
        <v>425</v>
      </c>
      <c r="E356" s="18" t="s">
        <v>426</v>
      </c>
      <c r="F356" s="19" t="s">
        <v>427</v>
      </c>
      <c r="G356" s="20">
        <v>45386</v>
      </c>
      <c r="H356" s="20">
        <v>45386</v>
      </c>
      <c r="I356" s="20">
        <v>45386</v>
      </c>
      <c r="J356" s="21">
        <v>0.52</v>
      </c>
      <c r="K356" s="18" t="s">
        <v>276</v>
      </c>
      <c r="L356" s="22">
        <v>217414.07</v>
      </c>
      <c r="M356" s="23">
        <v>-6481.75</v>
      </c>
      <c r="N356" s="23">
        <v>210932.32</v>
      </c>
      <c r="O356" s="19" t="s">
        <v>22</v>
      </c>
    </row>
    <row r="357" spans="1:15" s="4" customFormat="1" ht="19.25" customHeight="1" x14ac:dyDescent="0.45">
      <c r="A357" s="18" t="s">
        <v>535</v>
      </c>
      <c r="B357" s="18" t="s">
        <v>423</v>
      </c>
      <c r="C357" s="18" t="s">
        <v>424</v>
      </c>
      <c r="D357" s="18" t="s">
        <v>425</v>
      </c>
      <c r="E357" s="18" t="s">
        <v>426</v>
      </c>
      <c r="F357" s="19" t="s">
        <v>427</v>
      </c>
      <c r="G357" s="20">
        <v>45386</v>
      </c>
      <c r="H357" s="20">
        <v>45386</v>
      </c>
      <c r="I357" s="20">
        <v>45386</v>
      </c>
      <c r="J357" s="21">
        <v>0.12</v>
      </c>
      <c r="K357" s="18" t="s">
        <v>276</v>
      </c>
      <c r="L357" s="22">
        <v>72400.67</v>
      </c>
      <c r="M357" s="23">
        <v>-2158.48</v>
      </c>
      <c r="N357" s="23">
        <v>70242.19</v>
      </c>
      <c r="O357" s="19" t="s">
        <v>22</v>
      </c>
    </row>
    <row r="358" spans="1:15" s="4" customFormat="1" ht="19.25" customHeight="1" x14ac:dyDescent="0.45">
      <c r="A358" s="18" t="s">
        <v>536</v>
      </c>
      <c r="B358" s="18" t="s">
        <v>423</v>
      </c>
      <c r="C358" s="18" t="s">
        <v>424</v>
      </c>
      <c r="D358" s="18" t="s">
        <v>425</v>
      </c>
      <c r="E358" s="18" t="s">
        <v>426</v>
      </c>
      <c r="F358" s="19" t="s">
        <v>427</v>
      </c>
      <c r="G358" s="20">
        <v>45386</v>
      </c>
      <c r="H358" s="20">
        <v>45386</v>
      </c>
      <c r="I358" s="20">
        <v>45386</v>
      </c>
      <c r="J358" s="21">
        <v>0.05</v>
      </c>
      <c r="K358" s="18" t="s">
        <v>276</v>
      </c>
      <c r="L358" s="22">
        <v>3774.14</v>
      </c>
      <c r="M358" s="23">
        <v>-112.52</v>
      </c>
      <c r="N358" s="23">
        <v>3661.62</v>
      </c>
      <c r="O358" s="19" t="s">
        <v>22</v>
      </c>
    </row>
    <row r="359" spans="1:15" s="4" customFormat="1" ht="19.25" customHeight="1" x14ac:dyDescent="0.45">
      <c r="A359" s="18" t="s">
        <v>537</v>
      </c>
      <c r="B359" s="18" t="s">
        <v>423</v>
      </c>
      <c r="C359" s="18" t="s">
        <v>424</v>
      </c>
      <c r="D359" s="18" t="s">
        <v>425</v>
      </c>
      <c r="E359" s="18" t="s">
        <v>426</v>
      </c>
      <c r="F359" s="19" t="s">
        <v>427</v>
      </c>
      <c r="G359" s="20">
        <v>45386</v>
      </c>
      <c r="H359" s="20">
        <v>45386</v>
      </c>
      <c r="I359" s="20">
        <v>45386</v>
      </c>
      <c r="J359" s="21">
        <v>0.28999999999999998</v>
      </c>
      <c r="K359" s="18" t="s">
        <v>276</v>
      </c>
      <c r="L359" s="22">
        <v>244968.12</v>
      </c>
      <c r="M359" s="23">
        <v>-7303.22</v>
      </c>
      <c r="N359" s="23">
        <v>237664.9</v>
      </c>
      <c r="O359" s="19" t="s">
        <v>22</v>
      </c>
    </row>
    <row r="360" spans="1:15" s="4" customFormat="1" ht="19.25" customHeight="1" x14ac:dyDescent="0.45">
      <c r="A360" s="18" t="s">
        <v>538</v>
      </c>
      <c r="B360" s="18" t="s">
        <v>423</v>
      </c>
      <c r="C360" s="18" t="s">
        <v>424</v>
      </c>
      <c r="D360" s="18" t="s">
        <v>425</v>
      </c>
      <c r="E360" s="18" t="s">
        <v>426</v>
      </c>
      <c r="F360" s="19" t="s">
        <v>427</v>
      </c>
      <c r="G360" s="20">
        <v>45386</v>
      </c>
      <c r="H360" s="20">
        <v>45386</v>
      </c>
      <c r="I360" s="20">
        <v>45386</v>
      </c>
      <c r="J360" s="21">
        <v>0.66</v>
      </c>
      <c r="K360" s="18" t="s">
        <v>276</v>
      </c>
      <c r="L360" s="22">
        <v>9570</v>
      </c>
      <c r="M360" s="23">
        <v>-285.31</v>
      </c>
      <c r="N360" s="23">
        <v>9284.69</v>
      </c>
      <c r="O360" s="19" t="s">
        <v>22</v>
      </c>
    </row>
    <row r="361" spans="1:15" s="4" customFormat="1" ht="19.25" customHeight="1" x14ac:dyDescent="0.45">
      <c r="A361" s="18" t="s">
        <v>539</v>
      </c>
      <c r="B361" s="18" t="s">
        <v>423</v>
      </c>
      <c r="C361" s="18" t="s">
        <v>424</v>
      </c>
      <c r="D361" s="18" t="s">
        <v>425</v>
      </c>
      <c r="E361" s="18" t="s">
        <v>426</v>
      </c>
      <c r="F361" s="19" t="s">
        <v>540</v>
      </c>
      <c r="G361" s="20">
        <v>45386</v>
      </c>
      <c r="H361" s="20">
        <v>45386</v>
      </c>
      <c r="I361" s="20">
        <v>45386</v>
      </c>
      <c r="J361" s="21">
        <v>1</v>
      </c>
      <c r="K361" s="18" t="s">
        <v>276</v>
      </c>
      <c r="L361" s="22">
        <v>1622.64</v>
      </c>
      <c r="M361" s="23">
        <v>-48.38</v>
      </c>
      <c r="N361" s="23">
        <v>1574.26</v>
      </c>
      <c r="O361" s="19" t="s">
        <v>22</v>
      </c>
    </row>
    <row r="362" spans="1:15" s="4" customFormat="1" ht="19.25" customHeight="1" x14ac:dyDescent="0.45">
      <c r="A362" s="18" t="s">
        <v>541</v>
      </c>
      <c r="B362" s="18" t="s">
        <v>423</v>
      </c>
      <c r="C362" s="18" t="s">
        <v>424</v>
      </c>
      <c r="D362" s="18" t="s">
        <v>425</v>
      </c>
      <c r="E362" s="18" t="s">
        <v>426</v>
      </c>
      <c r="F362" s="19" t="s">
        <v>540</v>
      </c>
      <c r="G362" s="20">
        <v>45386</v>
      </c>
      <c r="H362" s="20">
        <v>45386</v>
      </c>
      <c r="I362" s="20">
        <v>45386</v>
      </c>
      <c r="J362" s="21">
        <v>0.03</v>
      </c>
      <c r="K362" s="18" t="s">
        <v>276</v>
      </c>
      <c r="L362" s="22">
        <v>35532.6</v>
      </c>
      <c r="M362" s="23">
        <v>-1059.33</v>
      </c>
      <c r="N362" s="23">
        <v>34473.269999999997</v>
      </c>
      <c r="O362" s="19" t="s">
        <v>22</v>
      </c>
    </row>
    <row r="363" spans="1:15" s="4" customFormat="1" ht="19.25" customHeight="1" x14ac:dyDescent="0.45">
      <c r="A363" s="18" t="s">
        <v>542</v>
      </c>
      <c r="B363" s="18" t="s">
        <v>423</v>
      </c>
      <c r="C363" s="18" t="s">
        <v>424</v>
      </c>
      <c r="D363" s="18" t="s">
        <v>425</v>
      </c>
      <c r="E363" s="18" t="s">
        <v>426</v>
      </c>
      <c r="F363" s="19" t="s">
        <v>540</v>
      </c>
      <c r="G363" s="20">
        <v>45386</v>
      </c>
      <c r="H363" s="20">
        <v>45386</v>
      </c>
      <c r="I363" s="20">
        <v>45386</v>
      </c>
      <c r="J363" s="21">
        <v>0.06</v>
      </c>
      <c r="K363" s="18" t="s">
        <v>276</v>
      </c>
      <c r="L363" s="22">
        <v>394008.45</v>
      </c>
      <c r="M363" s="23">
        <v>-11746.55</v>
      </c>
      <c r="N363" s="23">
        <v>382261.9</v>
      </c>
      <c r="O363" s="19" t="s">
        <v>22</v>
      </c>
    </row>
    <row r="364" spans="1:15" s="4" customFormat="1" ht="19.25" customHeight="1" x14ac:dyDescent="0.45">
      <c r="A364" s="18" t="s">
        <v>543</v>
      </c>
      <c r="B364" s="18" t="s">
        <v>423</v>
      </c>
      <c r="C364" s="18" t="s">
        <v>424</v>
      </c>
      <c r="D364" s="18" t="s">
        <v>425</v>
      </c>
      <c r="E364" s="18" t="s">
        <v>426</v>
      </c>
      <c r="F364" s="19" t="s">
        <v>540</v>
      </c>
      <c r="G364" s="20">
        <v>45386</v>
      </c>
      <c r="H364" s="20">
        <v>45386</v>
      </c>
      <c r="I364" s="20">
        <v>45386</v>
      </c>
      <c r="J364" s="21">
        <v>0.05</v>
      </c>
      <c r="K364" s="18" t="s">
        <v>276</v>
      </c>
      <c r="L364" s="22">
        <v>124061.75999999999</v>
      </c>
      <c r="M364" s="23">
        <v>-3698.64</v>
      </c>
      <c r="N364" s="23">
        <v>120363.12</v>
      </c>
      <c r="O364" s="19" t="s">
        <v>22</v>
      </c>
    </row>
    <row r="365" spans="1:15" s="4" customFormat="1" ht="19.25" customHeight="1" x14ac:dyDescent="0.45">
      <c r="A365" s="18" t="s">
        <v>544</v>
      </c>
      <c r="B365" s="18" t="s">
        <v>423</v>
      </c>
      <c r="C365" s="18" t="s">
        <v>424</v>
      </c>
      <c r="D365" s="18" t="s">
        <v>425</v>
      </c>
      <c r="E365" s="18" t="s">
        <v>426</v>
      </c>
      <c r="F365" s="19" t="s">
        <v>540</v>
      </c>
      <c r="G365" s="20">
        <v>45386</v>
      </c>
      <c r="H365" s="20">
        <v>45386</v>
      </c>
      <c r="I365" s="20">
        <v>45386</v>
      </c>
      <c r="J365" s="21">
        <v>0.09</v>
      </c>
      <c r="K365" s="18" t="s">
        <v>276</v>
      </c>
      <c r="L365" s="22">
        <v>462435.5</v>
      </c>
      <c r="M365" s="23">
        <v>-13786.56</v>
      </c>
      <c r="N365" s="23">
        <v>448648.94</v>
      </c>
      <c r="O365" s="19" t="s">
        <v>22</v>
      </c>
    </row>
    <row r="366" spans="1:15" s="4" customFormat="1" ht="19.25" customHeight="1" x14ac:dyDescent="0.45">
      <c r="A366" s="18" t="s">
        <v>545</v>
      </c>
      <c r="B366" s="18" t="s">
        <v>423</v>
      </c>
      <c r="C366" s="18" t="s">
        <v>424</v>
      </c>
      <c r="D366" s="18" t="s">
        <v>425</v>
      </c>
      <c r="E366" s="18" t="s">
        <v>426</v>
      </c>
      <c r="F366" s="19" t="s">
        <v>546</v>
      </c>
      <c r="G366" s="20">
        <v>45386</v>
      </c>
      <c r="H366" s="20">
        <v>45386</v>
      </c>
      <c r="I366" s="20">
        <v>45386</v>
      </c>
      <c r="J366" s="21">
        <v>24</v>
      </c>
      <c r="K366" s="18" t="s">
        <v>90</v>
      </c>
      <c r="L366" s="22">
        <v>303144</v>
      </c>
      <c r="M366" s="23">
        <v>-9037.61</v>
      </c>
      <c r="N366" s="23">
        <v>294106.39</v>
      </c>
      <c r="O366" s="18" t="s">
        <v>22</v>
      </c>
    </row>
    <row r="367" spans="1:15" s="4" customFormat="1" ht="19.25" customHeight="1" x14ac:dyDescent="0.45">
      <c r="A367" s="18" t="s">
        <v>547</v>
      </c>
      <c r="B367" s="18" t="s">
        <v>423</v>
      </c>
      <c r="C367" s="18" t="s">
        <v>424</v>
      </c>
      <c r="D367" s="18" t="s">
        <v>425</v>
      </c>
      <c r="E367" s="18" t="s">
        <v>426</v>
      </c>
      <c r="F367" s="19" t="s">
        <v>546</v>
      </c>
      <c r="G367" s="20">
        <v>45386</v>
      </c>
      <c r="H367" s="20">
        <v>45386</v>
      </c>
      <c r="I367" s="20">
        <v>45386</v>
      </c>
      <c r="J367" s="21">
        <v>8</v>
      </c>
      <c r="K367" s="18" t="s">
        <v>90</v>
      </c>
      <c r="L367" s="22">
        <v>101048</v>
      </c>
      <c r="M367" s="23">
        <v>-3012.54</v>
      </c>
      <c r="N367" s="23">
        <v>98035.46</v>
      </c>
      <c r="O367" s="18" t="s">
        <v>102</v>
      </c>
    </row>
    <row r="368" spans="1:15" s="4" customFormat="1" ht="19.25" customHeight="1" x14ac:dyDescent="0.45">
      <c r="A368" s="18" t="s">
        <v>548</v>
      </c>
      <c r="B368" s="18" t="s">
        <v>394</v>
      </c>
      <c r="C368" s="18" t="s">
        <v>395</v>
      </c>
      <c r="D368" s="18" t="s">
        <v>396</v>
      </c>
      <c r="E368" s="18" t="s">
        <v>397</v>
      </c>
      <c r="F368" s="19" t="s">
        <v>549</v>
      </c>
      <c r="G368" s="20">
        <v>45386</v>
      </c>
      <c r="H368" s="20">
        <v>45386</v>
      </c>
      <c r="I368" s="20">
        <v>45386</v>
      </c>
      <c r="J368" s="21">
        <v>10</v>
      </c>
      <c r="K368" s="18" t="s">
        <v>90</v>
      </c>
      <c r="L368" s="22">
        <f>176834*10/14</f>
        <v>126310</v>
      </c>
      <c r="M368" s="23">
        <f>-8334.08*10/14</f>
        <v>-5952.9142857142861</v>
      </c>
      <c r="N368" s="23">
        <f>168499.92*10/14</f>
        <v>120357.08571428573</v>
      </c>
      <c r="O368" s="18" t="s">
        <v>102</v>
      </c>
    </row>
    <row r="369" spans="1:15" s="4" customFormat="1" ht="19.25" customHeight="1" x14ac:dyDescent="0.45">
      <c r="A369" s="18" t="s">
        <v>548</v>
      </c>
      <c r="B369" s="18"/>
      <c r="C369" s="18"/>
      <c r="D369" s="18"/>
      <c r="E369" s="18" t="s">
        <v>397</v>
      </c>
      <c r="F369" s="19" t="s">
        <v>549</v>
      </c>
      <c r="G369" s="20">
        <v>45386</v>
      </c>
      <c r="H369" s="20"/>
      <c r="I369" s="20"/>
      <c r="J369" s="21">
        <v>2</v>
      </c>
      <c r="K369" s="18" t="s">
        <v>90</v>
      </c>
      <c r="L369" s="22">
        <f>176834*2/14</f>
        <v>25262</v>
      </c>
      <c r="M369" s="23">
        <f>-8334.08*2/14</f>
        <v>-1190.5828571428572</v>
      </c>
      <c r="N369" s="23">
        <f>168499.92*2/14</f>
        <v>24071.417142857146</v>
      </c>
      <c r="O369" s="18" t="s">
        <v>102</v>
      </c>
    </row>
    <row r="370" spans="1:15" s="4" customFormat="1" ht="19.25" customHeight="1" x14ac:dyDescent="0.45">
      <c r="A370" s="18" t="s">
        <v>548</v>
      </c>
      <c r="B370" s="18"/>
      <c r="C370" s="18"/>
      <c r="D370" s="18"/>
      <c r="E370" s="18" t="s">
        <v>397</v>
      </c>
      <c r="F370" s="19" t="s">
        <v>549</v>
      </c>
      <c r="G370" s="20">
        <v>45386</v>
      </c>
      <c r="H370" s="20"/>
      <c r="I370" s="20"/>
      <c r="J370" s="21">
        <v>2</v>
      </c>
      <c r="K370" s="18" t="s">
        <v>90</v>
      </c>
      <c r="L370" s="22">
        <f>176834*2/14</f>
        <v>25262</v>
      </c>
      <c r="M370" s="23">
        <f>-8334.08*2/14</f>
        <v>-1190.5828571428572</v>
      </c>
      <c r="N370" s="23">
        <f>168499.92*2/14</f>
        <v>24071.417142857146</v>
      </c>
      <c r="O370" s="18" t="s">
        <v>22</v>
      </c>
    </row>
    <row r="371" spans="1:15" s="4" customFormat="1" ht="19.25" customHeight="1" x14ac:dyDescent="0.45">
      <c r="A371" s="18" t="s">
        <v>550</v>
      </c>
      <c r="B371" s="18" t="s">
        <v>394</v>
      </c>
      <c r="C371" s="18" t="s">
        <v>395</v>
      </c>
      <c r="D371" s="18" t="s">
        <v>396</v>
      </c>
      <c r="E371" s="18" t="s">
        <v>397</v>
      </c>
      <c r="F371" s="19" t="s">
        <v>549</v>
      </c>
      <c r="G371" s="20">
        <v>45386</v>
      </c>
      <c r="H371" s="20">
        <v>45386</v>
      </c>
      <c r="I371" s="20">
        <v>45386</v>
      </c>
      <c r="J371" s="21">
        <v>2</v>
      </c>
      <c r="K371" s="18" t="s">
        <v>90</v>
      </c>
      <c r="L371" s="22">
        <v>25262</v>
      </c>
      <c r="M371" s="23">
        <v>-1190.58</v>
      </c>
      <c r="N371" s="23">
        <v>24071.42</v>
      </c>
      <c r="O371" s="18" t="s">
        <v>22</v>
      </c>
    </row>
    <row r="372" spans="1:15" s="4" customFormat="1" ht="29.35" customHeight="1" x14ac:dyDescent="0.45">
      <c r="A372" s="18" t="s">
        <v>551</v>
      </c>
      <c r="B372" s="18" t="s">
        <v>394</v>
      </c>
      <c r="C372" s="18" t="s">
        <v>395</v>
      </c>
      <c r="D372" s="18" t="s">
        <v>396</v>
      </c>
      <c r="E372" s="18" t="s">
        <v>397</v>
      </c>
      <c r="F372" s="19" t="s">
        <v>552</v>
      </c>
      <c r="G372" s="20">
        <v>45386</v>
      </c>
      <c r="H372" s="20">
        <v>45386</v>
      </c>
      <c r="I372" s="20">
        <v>45386</v>
      </c>
      <c r="J372" s="21">
        <v>1</v>
      </c>
      <c r="K372" s="18" t="s">
        <v>90</v>
      </c>
      <c r="L372" s="22">
        <v>12631.44</v>
      </c>
      <c r="M372" s="23">
        <v>-595.30999999999995</v>
      </c>
      <c r="N372" s="23">
        <v>12036.13</v>
      </c>
      <c r="O372" s="18" t="s">
        <v>22</v>
      </c>
    </row>
    <row r="373" spans="1:15" s="4" customFormat="1" ht="19.25" customHeight="1" x14ac:dyDescent="0.45">
      <c r="A373" s="18" t="s">
        <v>553</v>
      </c>
      <c r="B373" s="18" t="s">
        <v>394</v>
      </c>
      <c r="C373" s="18" t="s">
        <v>395</v>
      </c>
      <c r="D373" s="18" t="s">
        <v>396</v>
      </c>
      <c r="E373" s="18" t="s">
        <v>397</v>
      </c>
      <c r="F373" s="19" t="s">
        <v>554</v>
      </c>
      <c r="G373" s="20">
        <v>45386</v>
      </c>
      <c r="H373" s="20">
        <v>45386</v>
      </c>
      <c r="I373" s="20">
        <v>45386</v>
      </c>
      <c r="J373" s="21">
        <v>0.9</v>
      </c>
      <c r="K373" s="18" t="s">
        <v>90</v>
      </c>
      <c r="L373" s="22">
        <v>49280.4</v>
      </c>
      <c r="M373" s="23">
        <v>-2322.56</v>
      </c>
      <c r="N373" s="23">
        <v>46957.84</v>
      </c>
      <c r="O373" s="18" t="s">
        <v>22</v>
      </c>
    </row>
    <row r="374" spans="1:15" s="4" customFormat="1" ht="19.25" customHeight="1" x14ac:dyDescent="0.45">
      <c r="A374" s="18" t="s">
        <v>555</v>
      </c>
      <c r="B374" s="18" t="s">
        <v>394</v>
      </c>
      <c r="C374" s="18" t="s">
        <v>395</v>
      </c>
      <c r="D374" s="18" t="s">
        <v>396</v>
      </c>
      <c r="E374" s="18" t="s">
        <v>397</v>
      </c>
      <c r="F374" s="19" t="s">
        <v>556</v>
      </c>
      <c r="G374" s="20">
        <v>45386</v>
      </c>
      <c r="H374" s="20">
        <v>45386</v>
      </c>
      <c r="I374" s="20">
        <v>45386</v>
      </c>
      <c r="J374" s="21">
        <v>0.7</v>
      </c>
      <c r="K374" s="18" t="s">
        <v>90</v>
      </c>
      <c r="L374" s="22">
        <v>221060</v>
      </c>
      <c r="M374" s="23">
        <v>-10418.43</v>
      </c>
      <c r="N374" s="23">
        <v>210641.57</v>
      </c>
      <c r="O374" s="18" t="s">
        <v>22</v>
      </c>
    </row>
    <row r="375" spans="1:15" s="4" customFormat="1" ht="19.25" customHeight="1" x14ac:dyDescent="0.45">
      <c r="A375" s="18" t="s">
        <v>557</v>
      </c>
      <c r="B375" s="18" t="s">
        <v>394</v>
      </c>
      <c r="C375" s="18" t="s">
        <v>395</v>
      </c>
      <c r="D375" s="18" t="s">
        <v>396</v>
      </c>
      <c r="E375" s="18" t="s">
        <v>397</v>
      </c>
      <c r="F375" s="19" t="s">
        <v>558</v>
      </c>
      <c r="G375" s="20">
        <v>45386</v>
      </c>
      <c r="H375" s="20">
        <v>45386</v>
      </c>
      <c r="I375" s="20">
        <v>45386</v>
      </c>
      <c r="J375" s="21">
        <v>1</v>
      </c>
      <c r="K375" s="18" t="s">
        <v>90</v>
      </c>
      <c r="L375" s="22">
        <v>26300</v>
      </c>
      <c r="M375" s="23">
        <v>-1239.5</v>
      </c>
      <c r="N375" s="23">
        <v>25060.5</v>
      </c>
      <c r="O375" s="18" t="s">
        <v>22</v>
      </c>
    </row>
    <row r="376" spans="1:15" s="4" customFormat="1" ht="19.25" customHeight="1" x14ac:dyDescent="0.45">
      <c r="A376" s="18" t="s">
        <v>559</v>
      </c>
      <c r="B376" s="18" t="s">
        <v>394</v>
      </c>
      <c r="C376" s="18" t="s">
        <v>395</v>
      </c>
      <c r="D376" s="18" t="s">
        <v>396</v>
      </c>
      <c r="E376" s="18" t="s">
        <v>397</v>
      </c>
      <c r="F376" s="19" t="s">
        <v>560</v>
      </c>
      <c r="G376" s="20">
        <v>45386</v>
      </c>
      <c r="H376" s="20">
        <v>45386</v>
      </c>
      <c r="I376" s="20">
        <v>45386</v>
      </c>
      <c r="J376" s="21">
        <v>0.6</v>
      </c>
      <c r="K376" s="18" t="s">
        <v>90</v>
      </c>
      <c r="L376" s="22">
        <v>1624080</v>
      </c>
      <c r="M376" s="23">
        <v>-76541.960000000006</v>
      </c>
      <c r="N376" s="23">
        <v>1547538.04</v>
      </c>
      <c r="O376" s="18" t="s">
        <v>22</v>
      </c>
    </row>
    <row r="377" spans="1:15" s="4" customFormat="1" ht="19.25" customHeight="1" x14ac:dyDescent="0.45">
      <c r="A377" s="18" t="s">
        <v>561</v>
      </c>
      <c r="B377" s="18" t="s">
        <v>394</v>
      </c>
      <c r="C377" s="18" t="s">
        <v>395</v>
      </c>
      <c r="D377" s="18" t="s">
        <v>396</v>
      </c>
      <c r="E377" s="18" t="s">
        <v>397</v>
      </c>
      <c r="F377" s="19" t="s">
        <v>562</v>
      </c>
      <c r="G377" s="20">
        <v>45386</v>
      </c>
      <c r="H377" s="20">
        <v>45386</v>
      </c>
      <c r="I377" s="20">
        <v>45386</v>
      </c>
      <c r="J377" s="21">
        <v>0.7</v>
      </c>
      <c r="K377" s="18" t="s">
        <v>90</v>
      </c>
      <c r="L377" s="22">
        <v>14770</v>
      </c>
      <c r="M377" s="23">
        <v>-696.1</v>
      </c>
      <c r="N377" s="23">
        <v>14073.9</v>
      </c>
      <c r="O377" s="18" t="s">
        <v>22</v>
      </c>
    </row>
    <row r="378" spans="1:15" s="4" customFormat="1" ht="19.25" customHeight="1" x14ac:dyDescent="0.45">
      <c r="A378" s="18" t="s">
        <v>563</v>
      </c>
      <c r="B378" s="18" t="s">
        <v>394</v>
      </c>
      <c r="C378" s="18" t="s">
        <v>395</v>
      </c>
      <c r="D378" s="18" t="s">
        <v>396</v>
      </c>
      <c r="E378" s="18" t="s">
        <v>397</v>
      </c>
      <c r="F378" s="19" t="s">
        <v>564</v>
      </c>
      <c r="G378" s="20">
        <v>45386</v>
      </c>
      <c r="H378" s="20">
        <v>45386</v>
      </c>
      <c r="I378" s="20">
        <v>45386</v>
      </c>
      <c r="J378" s="21">
        <v>2</v>
      </c>
      <c r="K378" s="18" t="s">
        <v>90</v>
      </c>
      <c r="L378" s="22">
        <v>21000</v>
      </c>
      <c r="M378" s="23">
        <v>-989.72</v>
      </c>
      <c r="N378" s="23">
        <v>20010.28</v>
      </c>
      <c r="O378" s="18" t="s">
        <v>22</v>
      </c>
    </row>
    <row r="379" spans="1:15" s="4" customFormat="1" ht="19.25" customHeight="1" x14ac:dyDescent="0.45">
      <c r="A379" s="18" t="s">
        <v>565</v>
      </c>
      <c r="B379" s="18" t="s">
        <v>394</v>
      </c>
      <c r="C379" s="18" t="s">
        <v>395</v>
      </c>
      <c r="D379" s="18" t="s">
        <v>396</v>
      </c>
      <c r="E379" s="18" t="s">
        <v>397</v>
      </c>
      <c r="F379" s="19" t="s">
        <v>884</v>
      </c>
      <c r="G379" s="20">
        <v>45386</v>
      </c>
      <c r="H379" s="20">
        <v>45386</v>
      </c>
      <c r="I379" s="20">
        <v>45386</v>
      </c>
      <c r="J379" s="21">
        <v>2</v>
      </c>
      <c r="K379" s="18" t="s">
        <v>90</v>
      </c>
      <c r="L379" s="22">
        <f>84000*2/8</f>
        <v>21000</v>
      </c>
      <c r="M379" s="23">
        <f>-3958.87*2/8</f>
        <v>-989.71749999999997</v>
      </c>
      <c r="N379" s="23">
        <f>80041.13*2/8</f>
        <v>20010.282500000001</v>
      </c>
      <c r="O379" s="18" t="s">
        <v>22</v>
      </c>
    </row>
    <row r="380" spans="1:15" s="4" customFormat="1" ht="19.25" customHeight="1" x14ac:dyDescent="0.45">
      <c r="A380" s="18" t="s">
        <v>566</v>
      </c>
      <c r="B380" s="18"/>
      <c r="C380" s="18"/>
      <c r="D380" s="18"/>
      <c r="E380" s="18" t="s">
        <v>397</v>
      </c>
      <c r="F380" s="19" t="s">
        <v>884</v>
      </c>
      <c r="G380" s="20">
        <v>45386</v>
      </c>
      <c r="H380" s="20"/>
      <c r="I380" s="20"/>
      <c r="J380" s="21">
        <v>1</v>
      </c>
      <c r="K380" s="18" t="s">
        <v>90</v>
      </c>
      <c r="L380" s="22">
        <f>84000*1/8</f>
        <v>10500</v>
      </c>
      <c r="M380" s="23">
        <f>-3958.87*1/8</f>
        <v>-494.85874999999999</v>
      </c>
      <c r="N380" s="23">
        <f>80041.13*1/8</f>
        <v>10005.141250000001</v>
      </c>
      <c r="O380" s="18" t="s">
        <v>102</v>
      </c>
    </row>
    <row r="381" spans="1:15" s="4" customFormat="1" ht="19.25" customHeight="1" x14ac:dyDescent="0.45">
      <c r="A381" s="18" t="s">
        <v>567</v>
      </c>
      <c r="B381" s="18"/>
      <c r="C381" s="18"/>
      <c r="D381" s="18"/>
      <c r="E381" s="18" t="s">
        <v>397</v>
      </c>
      <c r="F381" s="19" t="s">
        <v>884</v>
      </c>
      <c r="G381" s="20">
        <v>45386</v>
      </c>
      <c r="H381" s="20"/>
      <c r="I381" s="20"/>
      <c r="J381" s="21">
        <v>5</v>
      </c>
      <c r="K381" s="18" t="s">
        <v>90</v>
      </c>
      <c r="L381" s="22">
        <f>84000*5/8</f>
        <v>52500</v>
      </c>
      <c r="M381" s="23">
        <f>-3958.87*5/8</f>
        <v>-2474.2937499999998</v>
      </c>
      <c r="N381" s="23">
        <f>80041.13*5/8</f>
        <v>50025.706250000003</v>
      </c>
      <c r="O381" s="18" t="s">
        <v>102</v>
      </c>
    </row>
    <row r="382" spans="1:15" s="4" customFormat="1" ht="19.25" customHeight="1" x14ac:dyDescent="0.45">
      <c r="A382" s="18" t="s">
        <v>568</v>
      </c>
      <c r="B382" s="18" t="s">
        <v>394</v>
      </c>
      <c r="C382" s="18" t="s">
        <v>395</v>
      </c>
      <c r="D382" s="18" t="s">
        <v>396</v>
      </c>
      <c r="E382" s="18" t="s">
        <v>397</v>
      </c>
      <c r="F382" s="19" t="s">
        <v>885</v>
      </c>
      <c r="G382" s="20">
        <v>45386</v>
      </c>
      <c r="H382" s="20">
        <v>45386</v>
      </c>
      <c r="I382" s="20">
        <v>45386</v>
      </c>
      <c r="J382" s="21">
        <v>1</v>
      </c>
      <c r="K382" s="18" t="s">
        <v>90</v>
      </c>
      <c r="L382" s="22">
        <v>10500.34</v>
      </c>
      <c r="M382" s="23">
        <v>-494.88</v>
      </c>
      <c r="N382" s="23">
        <v>10005.459999999999</v>
      </c>
      <c r="O382" s="18" t="s">
        <v>22</v>
      </c>
    </row>
    <row r="383" spans="1:15" s="4" customFormat="1" ht="19.25" customHeight="1" x14ac:dyDescent="0.45">
      <c r="A383" s="18" t="s">
        <v>569</v>
      </c>
      <c r="B383" s="18" t="s">
        <v>394</v>
      </c>
      <c r="C383" s="18" t="s">
        <v>395</v>
      </c>
      <c r="D383" s="18" t="s">
        <v>396</v>
      </c>
      <c r="E383" s="18" t="s">
        <v>397</v>
      </c>
      <c r="F383" s="19" t="s">
        <v>886</v>
      </c>
      <c r="G383" s="20">
        <v>45386</v>
      </c>
      <c r="H383" s="20">
        <v>45386</v>
      </c>
      <c r="I383" s="20">
        <v>45386</v>
      </c>
      <c r="J383" s="21">
        <v>1</v>
      </c>
      <c r="K383" s="18" t="s">
        <v>90</v>
      </c>
      <c r="L383" s="22">
        <v>10500</v>
      </c>
      <c r="M383" s="23">
        <v>-494.86</v>
      </c>
      <c r="N383" s="23">
        <v>10005.14</v>
      </c>
      <c r="O383" s="18" t="s">
        <v>22</v>
      </c>
    </row>
    <row r="384" spans="1:15" s="4" customFormat="1" ht="19.25" customHeight="1" x14ac:dyDescent="0.45">
      <c r="A384" s="18" t="s">
        <v>570</v>
      </c>
      <c r="B384" s="18" t="s">
        <v>394</v>
      </c>
      <c r="C384" s="18" t="s">
        <v>395</v>
      </c>
      <c r="D384" s="18" t="s">
        <v>396</v>
      </c>
      <c r="E384" s="18" t="s">
        <v>397</v>
      </c>
      <c r="F384" s="19" t="s">
        <v>571</v>
      </c>
      <c r="G384" s="20">
        <v>45386</v>
      </c>
      <c r="H384" s="20">
        <v>45386</v>
      </c>
      <c r="I384" s="20">
        <v>45386</v>
      </c>
      <c r="J384" s="21">
        <v>5</v>
      </c>
      <c r="K384" s="18" t="s">
        <v>90</v>
      </c>
      <c r="L384" s="22">
        <f>17600*5/11</f>
        <v>8000</v>
      </c>
      <c r="M384" s="23">
        <f>-829.48*5/11</f>
        <v>-377.0363636363636</v>
      </c>
      <c r="N384" s="23">
        <f>16770.52*5/11</f>
        <v>7622.9636363636373</v>
      </c>
      <c r="O384" s="18" t="s">
        <v>22</v>
      </c>
    </row>
    <row r="385" spans="1:15" s="4" customFormat="1" ht="19.25" customHeight="1" x14ac:dyDescent="0.45">
      <c r="A385" s="18" t="s">
        <v>572</v>
      </c>
      <c r="B385" s="18"/>
      <c r="C385" s="18"/>
      <c r="D385" s="18"/>
      <c r="E385" s="18" t="s">
        <v>397</v>
      </c>
      <c r="F385" s="19" t="s">
        <v>571</v>
      </c>
      <c r="G385" s="20">
        <v>45386</v>
      </c>
      <c r="H385" s="20"/>
      <c r="I385" s="20"/>
      <c r="J385" s="21">
        <v>1</v>
      </c>
      <c r="K385" s="18" t="s">
        <v>90</v>
      </c>
      <c r="L385" s="22">
        <f>17600*1/11</f>
        <v>1600</v>
      </c>
      <c r="M385" s="23">
        <f>-829.48*1/11</f>
        <v>-75.407272727272726</v>
      </c>
      <c r="N385" s="23">
        <f>16770.52*1/11</f>
        <v>1524.5927272727274</v>
      </c>
      <c r="O385" s="18" t="s">
        <v>102</v>
      </c>
    </row>
    <row r="386" spans="1:15" s="4" customFormat="1" ht="19.25" customHeight="1" x14ac:dyDescent="0.45">
      <c r="A386" s="18" t="s">
        <v>573</v>
      </c>
      <c r="B386" s="18"/>
      <c r="C386" s="18"/>
      <c r="D386" s="18"/>
      <c r="E386" s="18" t="s">
        <v>397</v>
      </c>
      <c r="F386" s="19" t="s">
        <v>571</v>
      </c>
      <c r="G386" s="20">
        <v>45386</v>
      </c>
      <c r="H386" s="20"/>
      <c r="I386" s="20"/>
      <c r="J386" s="21">
        <v>5</v>
      </c>
      <c r="K386" s="18" t="s">
        <v>90</v>
      </c>
      <c r="L386" s="22">
        <f>17600*5/11</f>
        <v>8000</v>
      </c>
      <c r="M386" s="23">
        <f>-829.48*5/11</f>
        <v>-377.0363636363636</v>
      </c>
      <c r="N386" s="23">
        <f>16770.52*5/11</f>
        <v>7622.9636363636373</v>
      </c>
      <c r="O386" s="18" t="s">
        <v>102</v>
      </c>
    </row>
    <row r="387" spans="1:15" s="4" customFormat="1" ht="31.25" customHeight="1" x14ac:dyDescent="0.45">
      <c r="A387" s="18" t="s">
        <v>574</v>
      </c>
      <c r="B387" s="18" t="s">
        <v>394</v>
      </c>
      <c r="C387" s="18" t="s">
        <v>395</v>
      </c>
      <c r="D387" s="18" t="s">
        <v>396</v>
      </c>
      <c r="E387" s="18" t="s">
        <v>397</v>
      </c>
      <c r="F387" s="19" t="s">
        <v>889</v>
      </c>
      <c r="G387" s="20">
        <v>45386</v>
      </c>
      <c r="H387" s="20">
        <v>45386</v>
      </c>
      <c r="I387" s="20">
        <v>45386</v>
      </c>
      <c r="J387" s="21">
        <v>5</v>
      </c>
      <c r="K387" s="18" t="s">
        <v>90</v>
      </c>
      <c r="L387" s="22">
        <f>17600*5/11</f>
        <v>8000</v>
      </c>
      <c r="M387" s="23">
        <f>-829.48*5/11</f>
        <v>-377.0363636363636</v>
      </c>
      <c r="N387" s="23">
        <f>16770.52*5/11</f>
        <v>7622.9636363636373</v>
      </c>
      <c r="O387" s="18" t="s">
        <v>22</v>
      </c>
    </row>
    <row r="388" spans="1:15" s="4" customFormat="1" ht="31.25" customHeight="1" x14ac:dyDescent="0.45">
      <c r="A388" s="18" t="s">
        <v>575</v>
      </c>
      <c r="B388" s="18"/>
      <c r="C388" s="18"/>
      <c r="D388" s="18"/>
      <c r="E388" s="18" t="s">
        <v>397</v>
      </c>
      <c r="F388" s="19" t="s">
        <v>889</v>
      </c>
      <c r="G388" s="20">
        <v>45386</v>
      </c>
      <c r="H388" s="20"/>
      <c r="I388" s="20"/>
      <c r="J388" s="21">
        <v>1</v>
      </c>
      <c r="K388" s="18" t="s">
        <v>90</v>
      </c>
      <c r="L388" s="22">
        <f>17600*1/11</f>
        <v>1600</v>
      </c>
      <c r="M388" s="23">
        <f>-829.48*1/11</f>
        <v>-75.407272727272726</v>
      </c>
      <c r="N388" s="23">
        <f>16770.52*1/11</f>
        <v>1524.5927272727274</v>
      </c>
      <c r="O388" s="18" t="s">
        <v>102</v>
      </c>
    </row>
    <row r="389" spans="1:15" s="4" customFormat="1" ht="31.25" customHeight="1" x14ac:dyDescent="0.45">
      <c r="A389" s="18" t="s">
        <v>576</v>
      </c>
      <c r="B389" s="18"/>
      <c r="C389" s="18"/>
      <c r="D389" s="18"/>
      <c r="E389" s="18" t="s">
        <v>397</v>
      </c>
      <c r="F389" s="19" t="s">
        <v>889</v>
      </c>
      <c r="G389" s="20">
        <v>45386</v>
      </c>
      <c r="H389" s="20"/>
      <c r="I389" s="20"/>
      <c r="J389" s="21">
        <v>5</v>
      </c>
      <c r="K389" s="18" t="s">
        <v>90</v>
      </c>
      <c r="L389" s="22">
        <f>17600*5/11</f>
        <v>8000</v>
      </c>
      <c r="M389" s="23">
        <f>-829.48*5/11</f>
        <v>-377.0363636363636</v>
      </c>
      <c r="N389" s="23">
        <f>16770.52*5/11</f>
        <v>7622.9636363636373</v>
      </c>
      <c r="O389" s="18" t="s">
        <v>102</v>
      </c>
    </row>
    <row r="390" spans="1:15" s="4" customFormat="1" ht="19.25" customHeight="1" x14ac:dyDescent="0.45">
      <c r="A390" s="18" t="s">
        <v>577</v>
      </c>
      <c r="B390" s="18" t="s">
        <v>394</v>
      </c>
      <c r="C390" s="18" t="s">
        <v>395</v>
      </c>
      <c r="D390" s="18" t="s">
        <v>396</v>
      </c>
      <c r="E390" s="18" t="s">
        <v>397</v>
      </c>
      <c r="F390" s="19" t="s">
        <v>578</v>
      </c>
      <c r="G390" s="20">
        <v>45386</v>
      </c>
      <c r="H390" s="20">
        <v>45386</v>
      </c>
      <c r="I390" s="20">
        <v>45386</v>
      </c>
      <c r="J390" s="21">
        <f>5/11</f>
        <v>0.45454545454545453</v>
      </c>
      <c r="K390" s="18" t="s">
        <v>90</v>
      </c>
      <c r="L390" s="22">
        <f>140800*5/11</f>
        <v>64000</v>
      </c>
      <c r="M390" s="23">
        <f>-6635.82*5/11</f>
        <v>-3016.2818181818179</v>
      </c>
      <c r="N390" s="23">
        <f>134164.18*5/11</f>
        <v>60983.718181818171</v>
      </c>
      <c r="O390" s="18" t="s">
        <v>22</v>
      </c>
    </row>
    <row r="391" spans="1:15" s="4" customFormat="1" ht="19.25" customHeight="1" x14ac:dyDescent="0.45">
      <c r="A391" s="18" t="s">
        <v>579</v>
      </c>
      <c r="B391" s="18"/>
      <c r="C391" s="18"/>
      <c r="D391" s="18"/>
      <c r="E391" s="18" t="s">
        <v>397</v>
      </c>
      <c r="F391" s="19" t="s">
        <v>578</v>
      </c>
      <c r="G391" s="20">
        <v>45386</v>
      </c>
      <c r="H391" s="20"/>
      <c r="I391" s="20"/>
      <c r="J391" s="21">
        <f>1/11</f>
        <v>9.0909090909090912E-2</v>
      </c>
      <c r="K391" s="18" t="s">
        <v>90</v>
      </c>
      <c r="L391" s="22">
        <f>140800*1/11</f>
        <v>12800</v>
      </c>
      <c r="M391" s="23">
        <f>-6635.82*1/11</f>
        <v>-603.25636363636363</v>
      </c>
      <c r="N391" s="23">
        <f>134164.18*1/11</f>
        <v>12196.743636363635</v>
      </c>
      <c r="O391" s="18" t="s">
        <v>102</v>
      </c>
    </row>
    <row r="392" spans="1:15" s="4" customFormat="1" ht="19.25" customHeight="1" x14ac:dyDescent="0.45">
      <c r="A392" s="18" t="s">
        <v>580</v>
      </c>
      <c r="B392" s="18"/>
      <c r="C392" s="18"/>
      <c r="D392" s="18"/>
      <c r="E392" s="18" t="s">
        <v>397</v>
      </c>
      <c r="F392" s="19" t="s">
        <v>578</v>
      </c>
      <c r="G392" s="20">
        <v>45386</v>
      </c>
      <c r="H392" s="20"/>
      <c r="I392" s="20"/>
      <c r="J392" s="21">
        <f>5/11</f>
        <v>0.45454545454545453</v>
      </c>
      <c r="K392" s="18" t="s">
        <v>90</v>
      </c>
      <c r="L392" s="22">
        <f>140800*5/11</f>
        <v>64000</v>
      </c>
      <c r="M392" s="23">
        <f>-6635.82*5/11</f>
        <v>-3016.2818181818179</v>
      </c>
      <c r="N392" s="23">
        <f>134164.18*5/11</f>
        <v>60983.718181818171</v>
      </c>
      <c r="O392" s="18" t="s">
        <v>102</v>
      </c>
    </row>
    <row r="393" spans="1:15" s="4" customFormat="1" ht="19.25" customHeight="1" x14ac:dyDescent="0.45">
      <c r="A393" s="18" t="s">
        <v>581</v>
      </c>
      <c r="B393" s="18" t="s">
        <v>394</v>
      </c>
      <c r="C393" s="18" t="s">
        <v>395</v>
      </c>
      <c r="D393" s="18" t="s">
        <v>396</v>
      </c>
      <c r="E393" s="18" t="s">
        <v>397</v>
      </c>
      <c r="F393" s="19" t="s">
        <v>582</v>
      </c>
      <c r="G393" s="20">
        <v>45386</v>
      </c>
      <c r="H393" s="20">
        <v>45386</v>
      </c>
      <c r="I393" s="20">
        <v>45386</v>
      </c>
      <c r="J393" s="21">
        <v>5</v>
      </c>
      <c r="K393" s="18" t="s">
        <v>90</v>
      </c>
      <c r="L393" s="22">
        <f>58300*5/11</f>
        <v>26500</v>
      </c>
      <c r="M393" s="23">
        <f>-2747.65*5/11</f>
        <v>-1248.9318181818182</v>
      </c>
      <c r="N393" s="23">
        <f>55552.35*5/11</f>
        <v>25251.06818181818</v>
      </c>
      <c r="O393" s="18" t="s">
        <v>22</v>
      </c>
    </row>
    <row r="394" spans="1:15" s="4" customFormat="1" ht="19.25" customHeight="1" x14ac:dyDescent="0.45">
      <c r="A394" s="18" t="s">
        <v>583</v>
      </c>
      <c r="B394" s="18"/>
      <c r="C394" s="18"/>
      <c r="D394" s="18"/>
      <c r="E394" s="18" t="s">
        <v>397</v>
      </c>
      <c r="F394" s="19" t="s">
        <v>582</v>
      </c>
      <c r="G394" s="20">
        <v>45386</v>
      </c>
      <c r="H394" s="20"/>
      <c r="I394" s="20"/>
      <c r="J394" s="21">
        <v>1</v>
      </c>
      <c r="K394" s="18" t="s">
        <v>90</v>
      </c>
      <c r="L394" s="22">
        <f>58300*1/11</f>
        <v>5300</v>
      </c>
      <c r="M394" s="23">
        <f>-2747.65*1/11</f>
        <v>-249.78636363636363</v>
      </c>
      <c r="N394" s="23">
        <f>55552.35*1/11</f>
        <v>5050.2136363636364</v>
      </c>
      <c r="O394" s="18" t="s">
        <v>102</v>
      </c>
    </row>
    <row r="395" spans="1:15" s="4" customFormat="1" ht="19.25" customHeight="1" x14ac:dyDescent="0.45">
      <c r="A395" s="18" t="s">
        <v>584</v>
      </c>
      <c r="B395" s="18"/>
      <c r="C395" s="18"/>
      <c r="D395" s="18"/>
      <c r="E395" s="18" t="s">
        <v>397</v>
      </c>
      <c r="F395" s="19" t="s">
        <v>582</v>
      </c>
      <c r="G395" s="20">
        <v>45386</v>
      </c>
      <c r="H395" s="20"/>
      <c r="I395" s="20"/>
      <c r="J395" s="21">
        <v>5</v>
      </c>
      <c r="K395" s="18" t="s">
        <v>90</v>
      </c>
      <c r="L395" s="22">
        <f>58300*5/11</f>
        <v>26500</v>
      </c>
      <c r="M395" s="23">
        <f>-2747.65*5/11</f>
        <v>-1248.9318181818182</v>
      </c>
      <c r="N395" s="23">
        <f>55552.35*5/11</f>
        <v>25251.06818181818</v>
      </c>
      <c r="O395" s="18" t="s">
        <v>102</v>
      </c>
    </row>
    <row r="396" spans="1:15" s="4" customFormat="1" ht="19.25" customHeight="1" x14ac:dyDescent="0.45">
      <c r="A396" s="18" t="s">
        <v>585</v>
      </c>
      <c r="B396" s="18" t="s">
        <v>394</v>
      </c>
      <c r="C396" s="18" t="s">
        <v>395</v>
      </c>
      <c r="D396" s="18" t="s">
        <v>396</v>
      </c>
      <c r="E396" s="18" t="s">
        <v>397</v>
      </c>
      <c r="F396" s="19" t="s">
        <v>586</v>
      </c>
      <c r="G396" s="20">
        <v>45386</v>
      </c>
      <c r="H396" s="20">
        <v>45386</v>
      </c>
      <c r="I396" s="20">
        <v>45386</v>
      </c>
      <c r="J396" s="21">
        <v>5</v>
      </c>
      <c r="K396" s="18" t="s">
        <v>90</v>
      </c>
      <c r="L396" s="22">
        <f>35200*5/11</f>
        <v>16000</v>
      </c>
      <c r="M396" s="23">
        <f>-2747.65*5/11</f>
        <v>-1248.9318181818182</v>
      </c>
      <c r="N396" s="23">
        <f>33541.04*5/11</f>
        <v>15245.927272727275</v>
      </c>
      <c r="O396" s="18" t="s">
        <v>22</v>
      </c>
    </row>
    <row r="397" spans="1:15" s="4" customFormat="1" ht="19.25" customHeight="1" x14ac:dyDescent="0.45">
      <c r="A397" s="18" t="s">
        <v>587</v>
      </c>
      <c r="B397" s="18"/>
      <c r="C397" s="18"/>
      <c r="D397" s="18"/>
      <c r="E397" s="18" t="s">
        <v>397</v>
      </c>
      <c r="F397" s="19" t="s">
        <v>586</v>
      </c>
      <c r="G397" s="20">
        <v>45386</v>
      </c>
      <c r="H397" s="20"/>
      <c r="I397" s="20"/>
      <c r="J397" s="21">
        <v>1</v>
      </c>
      <c r="K397" s="18" t="s">
        <v>90</v>
      </c>
      <c r="L397" s="22">
        <f>35200*1/11</f>
        <v>3200</v>
      </c>
      <c r="M397" s="23">
        <f>-1658.96*1/11</f>
        <v>-150.81454545454545</v>
      </c>
      <c r="N397" s="23">
        <f>33541.04*1/11</f>
        <v>3049.1854545454548</v>
      </c>
      <c r="O397" s="18" t="s">
        <v>102</v>
      </c>
    </row>
    <row r="398" spans="1:15" s="4" customFormat="1" ht="19.25" customHeight="1" x14ac:dyDescent="0.45">
      <c r="A398" s="18" t="s">
        <v>588</v>
      </c>
      <c r="B398" s="18"/>
      <c r="C398" s="18"/>
      <c r="D398" s="18"/>
      <c r="E398" s="18" t="s">
        <v>397</v>
      </c>
      <c r="F398" s="19" t="s">
        <v>586</v>
      </c>
      <c r="G398" s="20">
        <v>45386</v>
      </c>
      <c r="H398" s="20"/>
      <c r="I398" s="20"/>
      <c r="J398" s="21">
        <v>5</v>
      </c>
      <c r="K398" s="18" t="s">
        <v>90</v>
      </c>
      <c r="L398" s="22">
        <f>35200*5/11</f>
        <v>16000</v>
      </c>
      <c r="M398" s="23">
        <f>-1658.96*5/11</f>
        <v>-754.07272727272721</v>
      </c>
      <c r="N398" s="23">
        <f>33541.04*5/11</f>
        <v>15245.927272727275</v>
      </c>
      <c r="O398" s="18" t="s">
        <v>102</v>
      </c>
    </row>
    <row r="399" spans="1:15" s="4" customFormat="1" ht="33.4" customHeight="1" x14ac:dyDescent="0.45">
      <c r="A399" s="18" t="s">
        <v>589</v>
      </c>
      <c r="B399" s="18" t="s">
        <v>394</v>
      </c>
      <c r="C399" s="18" t="s">
        <v>395</v>
      </c>
      <c r="D399" s="18" t="s">
        <v>396</v>
      </c>
      <c r="E399" s="18" t="s">
        <v>397</v>
      </c>
      <c r="F399" s="19" t="s">
        <v>890</v>
      </c>
      <c r="G399" s="20">
        <v>45386</v>
      </c>
      <c r="H399" s="20">
        <v>45386</v>
      </c>
      <c r="I399" s="20">
        <v>45386</v>
      </c>
      <c r="J399" s="21">
        <v>4</v>
      </c>
      <c r="K399" s="18" t="s">
        <v>90</v>
      </c>
      <c r="L399" s="22">
        <v>12800</v>
      </c>
      <c r="M399" s="23">
        <v>-603.26</v>
      </c>
      <c r="N399" s="23">
        <v>12196.74</v>
      </c>
      <c r="O399" s="18" t="s">
        <v>22</v>
      </c>
    </row>
    <row r="400" spans="1:15" s="4" customFormat="1" ht="19.25" customHeight="1" x14ac:dyDescent="0.45">
      <c r="A400" s="18" t="s">
        <v>590</v>
      </c>
      <c r="B400" s="18" t="s">
        <v>394</v>
      </c>
      <c r="C400" s="18" t="s">
        <v>395</v>
      </c>
      <c r="D400" s="18" t="s">
        <v>396</v>
      </c>
      <c r="E400" s="18" t="s">
        <v>397</v>
      </c>
      <c r="F400" s="19" t="s">
        <v>591</v>
      </c>
      <c r="G400" s="20">
        <v>45386</v>
      </c>
      <c r="H400" s="20">
        <v>45386</v>
      </c>
      <c r="I400" s="20">
        <v>45386</v>
      </c>
      <c r="J400" s="21">
        <v>0.4</v>
      </c>
      <c r="K400" s="18" t="s">
        <v>90</v>
      </c>
      <c r="L400" s="22">
        <v>1082720</v>
      </c>
      <c r="M400" s="23">
        <v>-51027.97</v>
      </c>
      <c r="N400" s="23">
        <v>1031692.03</v>
      </c>
      <c r="O400" s="18" t="s">
        <v>102</v>
      </c>
    </row>
    <row r="401" spans="1:15" s="4" customFormat="1" ht="19.25" customHeight="1" x14ac:dyDescent="0.45">
      <c r="A401" s="18" t="s">
        <v>592</v>
      </c>
      <c r="B401" s="18" t="s">
        <v>394</v>
      </c>
      <c r="C401" s="18" t="s">
        <v>395</v>
      </c>
      <c r="D401" s="18" t="s">
        <v>396</v>
      </c>
      <c r="E401" s="18" t="s">
        <v>397</v>
      </c>
      <c r="F401" s="19" t="s">
        <v>593</v>
      </c>
      <c r="G401" s="20">
        <v>45386</v>
      </c>
      <c r="H401" s="20">
        <v>45386</v>
      </c>
      <c r="I401" s="20">
        <v>45386</v>
      </c>
      <c r="J401" s="21">
        <v>0.3</v>
      </c>
      <c r="K401" s="18" t="s">
        <v>90</v>
      </c>
      <c r="L401" s="22">
        <v>6330</v>
      </c>
      <c r="M401" s="23">
        <v>-298.33</v>
      </c>
      <c r="N401" s="23">
        <v>6031.67</v>
      </c>
      <c r="O401" s="18" t="s">
        <v>102</v>
      </c>
    </row>
    <row r="402" spans="1:15" s="4" customFormat="1" ht="19.25" customHeight="1" x14ac:dyDescent="0.45">
      <c r="A402" s="18" t="s">
        <v>594</v>
      </c>
      <c r="B402" s="18" t="s">
        <v>394</v>
      </c>
      <c r="C402" s="18" t="s">
        <v>395</v>
      </c>
      <c r="D402" s="18" t="s">
        <v>396</v>
      </c>
      <c r="E402" s="18" t="s">
        <v>397</v>
      </c>
      <c r="F402" s="19" t="s">
        <v>595</v>
      </c>
      <c r="G402" s="20">
        <v>45386</v>
      </c>
      <c r="H402" s="20">
        <v>45386</v>
      </c>
      <c r="I402" s="20">
        <v>45386</v>
      </c>
      <c r="J402" s="21">
        <v>1</v>
      </c>
      <c r="K402" s="18" t="s">
        <v>90</v>
      </c>
      <c r="L402" s="22">
        <v>121100</v>
      </c>
      <c r="M402" s="23">
        <v>-5707.37</v>
      </c>
      <c r="N402" s="23">
        <v>115392.63</v>
      </c>
      <c r="O402" s="18" t="s">
        <v>22</v>
      </c>
    </row>
    <row r="403" spans="1:15" s="4" customFormat="1" ht="19.25" customHeight="1" x14ac:dyDescent="0.45">
      <c r="A403" s="18" t="s">
        <v>596</v>
      </c>
      <c r="B403" s="18" t="s">
        <v>394</v>
      </c>
      <c r="C403" s="18" t="s">
        <v>395</v>
      </c>
      <c r="D403" s="18" t="s">
        <v>396</v>
      </c>
      <c r="E403" s="18" t="s">
        <v>397</v>
      </c>
      <c r="F403" s="19" t="s">
        <v>597</v>
      </c>
      <c r="G403" s="20">
        <v>45386</v>
      </c>
      <c r="H403" s="20">
        <v>45386</v>
      </c>
      <c r="I403" s="20">
        <v>45386</v>
      </c>
      <c r="J403" s="21">
        <v>0.1</v>
      </c>
      <c r="K403" s="18" t="s">
        <v>90</v>
      </c>
      <c r="L403" s="22">
        <v>5445.16</v>
      </c>
      <c r="M403" s="23">
        <v>-256.63</v>
      </c>
      <c r="N403" s="23">
        <v>5188.53</v>
      </c>
      <c r="O403" s="18" t="s">
        <v>22</v>
      </c>
    </row>
    <row r="404" spans="1:15" s="4" customFormat="1" ht="19.25" customHeight="1" x14ac:dyDescent="0.45">
      <c r="A404" s="18" t="s">
        <v>598</v>
      </c>
      <c r="B404" s="18" t="s">
        <v>394</v>
      </c>
      <c r="C404" s="18" t="s">
        <v>395</v>
      </c>
      <c r="D404" s="18" t="s">
        <v>396</v>
      </c>
      <c r="E404" s="18" t="s">
        <v>397</v>
      </c>
      <c r="F404" s="19" t="s">
        <v>599</v>
      </c>
      <c r="G404" s="20">
        <v>45386</v>
      </c>
      <c r="H404" s="20">
        <v>45386</v>
      </c>
      <c r="I404" s="20">
        <v>45386</v>
      </c>
      <c r="J404" s="21">
        <v>1</v>
      </c>
      <c r="K404" s="18" t="s">
        <v>90</v>
      </c>
      <c r="L404" s="22">
        <v>125000</v>
      </c>
      <c r="M404" s="23">
        <v>-5891.18</v>
      </c>
      <c r="N404" s="23">
        <v>119108.82</v>
      </c>
      <c r="O404" s="18" t="s">
        <v>102</v>
      </c>
    </row>
    <row r="405" spans="1:15" s="4" customFormat="1" ht="19.25" customHeight="1" x14ac:dyDescent="0.45">
      <c r="A405" s="18" t="s">
        <v>600</v>
      </c>
      <c r="B405" s="18" t="s">
        <v>394</v>
      </c>
      <c r="C405" s="18" t="s">
        <v>395</v>
      </c>
      <c r="D405" s="18" t="s">
        <v>396</v>
      </c>
      <c r="E405" s="18" t="s">
        <v>397</v>
      </c>
      <c r="F405" s="19" t="s">
        <v>601</v>
      </c>
      <c r="G405" s="20">
        <v>45386</v>
      </c>
      <c r="H405" s="20">
        <v>45386</v>
      </c>
      <c r="I405" s="20">
        <v>45386</v>
      </c>
      <c r="J405" s="21">
        <v>1</v>
      </c>
      <c r="K405" s="18" t="s">
        <v>90</v>
      </c>
      <c r="L405" s="22">
        <v>250000</v>
      </c>
      <c r="M405" s="23">
        <v>-11782.36</v>
      </c>
      <c r="N405" s="23">
        <v>238217.64</v>
      </c>
      <c r="O405" s="18" t="s">
        <v>22</v>
      </c>
    </row>
    <row r="406" spans="1:15" s="4" customFormat="1" ht="19.25" customHeight="1" x14ac:dyDescent="0.45">
      <c r="A406" s="18" t="s">
        <v>602</v>
      </c>
      <c r="B406" s="18" t="s">
        <v>423</v>
      </c>
      <c r="C406" s="18" t="s">
        <v>424</v>
      </c>
      <c r="D406" s="18" t="s">
        <v>425</v>
      </c>
      <c r="E406" s="18" t="s">
        <v>426</v>
      </c>
      <c r="F406" s="19" t="s">
        <v>540</v>
      </c>
      <c r="G406" s="20">
        <v>45386</v>
      </c>
      <c r="H406" s="20">
        <v>45386</v>
      </c>
      <c r="I406" s="20">
        <v>45386</v>
      </c>
      <c r="J406" s="21">
        <v>0.09</v>
      </c>
      <c r="K406" s="18" t="s">
        <v>276</v>
      </c>
      <c r="L406" s="22">
        <v>185779.25</v>
      </c>
      <c r="M406" s="23">
        <v>-5538.62</v>
      </c>
      <c r="N406" s="23">
        <v>180240.63</v>
      </c>
      <c r="O406" s="19" t="s">
        <v>22</v>
      </c>
    </row>
    <row r="407" spans="1:15" s="4" customFormat="1" ht="19.25" customHeight="1" x14ac:dyDescent="0.45">
      <c r="A407" s="18" t="s">
        <v>603</v>
      </c>
      <c r="B407" s="18" t="s">
        <v>423</v>
      </c>
      <c r="C407" s="18" t="s">
        <v>424</v>
      </c>
      <c r="D407" s="18" t="s">
        <v>425</v>
      </c>
      <c r="E407" s="18" t="s">
        <v>426</v>
      </c>
      <c r="F407" s="19" t="s">
        <v>540</v>
      </c>
      <c r="G407" s="20">
        <v>45386</v>
      </c>
      <c r="H407" s="20">
        <v>45386</v>
      </c>
      <c r="I407" s="20">
        <v>45386</v>
      </c>
      <c r="J407" s="21">
        <v>0.01</v>
      </c>
      <c r="K407" s="18" t="s">
        <v>276</v>
      </c>
      <c r="L407" s="22">
        <v>3370.76</v>
      </c>
      <c r="M407" s="23">
        <v>-100.49</v>
      </c>
      <c r="N407" s="23">
        <v>3270.27</v>
      </c>
      <c r="O407" s="19" t="s">
        <v>22</v>
      </c>
    </row>
    <row r="408" spans="1:15" s="4" customFormat="1" ht="19.25" customHeight="1" x14ac:dyDescent="0.45">
      <c r="A408" s="18" t="s">
        <v>604</v>
      </c>
      <c r="B408" s="18" t="s">
        <v>423</v>
      </c>
      <c r="C408" s="18" t="s">
        <v>424</v>
      </c>
      <c r="D408" s="18" t="s">
        <v>425</v>
      </c>
      <c r="E408" s="18" t="s">
        <v>426</v>
      </c>
      <c r="F408" s="19" t="s">
        <v>540</v>
      </c>
      <c r="G408" s="20">
        <v>45386</v>
      </c>
      <c r="H408" s="20">
        <v>45386</v>
      </c>
      <c r="I408" s="20">
        <v>45386</v>
      </c>
      <c r="J408" s="21">
        <v>0.53</v>
      </c>
      <c r="K408" s="18" t="s">
        <v>276</v>
      </c>
      <c r="L408" s="22">
        <v>326416.58</v>
      </c>
      <c r="M408" s="23">
        <v>-9731.44</v>
      </c>
      <c r="N408" s="23">
        <v>316685.14</v>
      </c>
      <c r="O408" s="19" t="s">
        <v>22</v>
      </c>
    </row>
    <row r="409" spans="1:15" s="4" customFormat="1" ht="19.25" customHeight="1" x14ac:dyDescent="0.45">
      <c r="A409" s="18" t="s">
        <v>605</v>
      </c>
      <c r="B409" s="18" t="s">
        <v>423</v>
      </c>
      <c r="C409" s="18" t="s">
        <v>424</v>
      </c>
      <c r="D409" s="18" t="s">
        <v>425</v>
      </c>
      <c r="E409" s="18" t="s">
        <v>426</v>
      </c>
      <c r="F409" s="19" t="s">
        <v>540</v>
      </c>
      <c r="G409" s="20">
        <v>45386</v>
      </c>
      <c r="H409" s="20">
        <v>45386</v>
      </c>
      <c r="I409" s="20">
        <v>45386</v>
      </c>
      <c r="J409" s="21">
        <v>1</v>
      </c>
      <c r="K409" s="18" t="s">
        <v>276</v>
      </c>
      <c r="L409" s="22">
        <v>11588.93</v>
      </c>
      <c r="M409" s="23">
        <v>-345.5</v>
      </c>
      <c r="N409" s="23">
        <v>11243.43</v>
      </c>
      <c r="O409" s="19" t="s">
        <v>22</v>
      </c>
    </row>
    <row r="410" spans="1:15" s="4" customFormat="1" ht="19.25" customHeight="1" x14ac:dyDescent="0.45">
      <c r="A410" s="18" t="s">
        <v>606</v>
      </c>
      <c r="B410" s="18" t="s">
        <v>423</v>
      </c>
      <c r="C410" s="18" t="s">
        <v>424</v>
      </c>
      <c r="D410" s="18" t="s">
        <v>425</v>
      </c>
      <c r="E410" s="18" t="s">
        <v>426</v>
      </c>
      <c r="F410" s="19" t="s">
        <v>540</v>
      </c>
      <c r="G410" s="20">
        <v>45386</v>
      </c>
      <c r="H410" s="20">
        <v>45386</v>
      </c>
      <c r="I410" s="20">
        <v>45386</v>
      </c>
      <c r="J410" s="21">
        <v>0.04</v>
      </c>
      <c r="K410" s="18" t="s">
        <v>276</v>
      </c>
      <c r="L410" s="22">
        <v>40974.379999999997</v>
      </c>
      <c r="M410" s="23">
        <v>-1221.57</v>
      </c>
      <c r="N410" s="23">
        <v>39752.81</v>
      </c>
      <c r="O410" s="19" t="s">
        <v>22</v>
      </c>
    </row>
    <row r="411" spans="1:15" s="4" customFormat="1" ht="19.25" customHeight="1" x14ac:dyDescent="0.45">
      <c r="A411" s="18" t="s">
        <v>607</v>
      </c>
      <c r="B411" s="18" t="s">
        <v>423</v>
      </c>
      <c r="C411" s="18" t="s">
        <v>424</v>
      </c>
      <c r="D411" s="18" t="s">
        <v>425</v>
      </c>
      <c r="E411" s="18" t="s">
        <v>426</v>
      </c>
      <c r="F411" s="19" t="s">
        <v>608</v>
      </c>
      <c r="G411" s="20">
        <v>45386</v>
      </c>
      <c r="H411" s="20">
        <v>45386</v>
      </c>
      <c r="I411" s="20">
        <v>45386</v>
      </c>
      <c r="J411" s="21">
        <v>247.8</v>
      </c>
      <c r="K411" s="18" t="s">
        <v>609</v>
      </c>
      <c r="L411" s="22">
        <v>718620.2</v>
      </c>
      <c r="M411" s="23">
        <v>-21424.17</v>
      </c>
      <c r="N411" s="23">
        <v>697196.03</v>
      </c>
      <c r="O411" s="19" t="s">
        <v>22</v>
      </c>
    </row>
    <row r="412" spans="1:15" s="4" customFormat="1" ht="19.25" customHeight="1" x14ac:dyDescent="0.45">
      <c r="A412" s="18" t="s">
        <v>610</v>
      </c>
      <c r="B412" s="18" t="s">
        <v>423</v>
      </c>
      <c r="C412" s="18" t="s">
        <v>424</v>
      </c>
      <c r="D412" s="18" t="s">
        <v>425</v>
      </c>
      <c r="E412" s="18" t="s">
        <v>426</v>
      </c>
      <c r="F412" s="19" t="s">
        <v>611</v>
      </c>
      <c r="G412" s="20">
        <v>45386</v>
      </c>
      <c r="H412" s="20">
        <v>45386</v>
      </c>
      <c r="I412" s="20">
        <v>45386</v>
      </c>
      <c r="J412" s="21">
        <v>267.12</v>
      </c>
      <c r="K412" s="18" t="s">
        <v>609</v>
      </c>
      <c r="L412" s="22">
        <v>2030112</v>
      </c>
      <c r="M412" s="23">
        <v>-60523.59</v>
      </c>
      <c r="N412" s="23">
        <v>1969588.41</v>
      </c>
      <c r="O412" s="19" t="s">
        <v>22</v>
      </c>
    </row>
    <row r="413" spans="1:15" s="4" customFormat="1" ht="19.25" customHeight="1" x14ac:dyDescent="0.45">
      <c r="A413" s="18" t="s">
        <v>612</v>
      </c>
      <c r="B413" s="18" t="s">
        <v>423</v>
      </c>
      <c r="C413" s="18" t="s">
        <v>424</v>
      </c>
      <c r="D413" s="18" t="s">
        <v>425</v>
      </c>
      <c r="E413" s="18" t="s">
        <v>426</v>
      </c>
      <c r="F413" s="19" t="s">
        <v>613</v>
      </c>
      <c r="G413" s="20">
        <v>45386</v>
      </c>
      <c r="H413" s="20">
        <v>45386</v>
      </c>
      <c r="I413" s="20">
        <v>45386</v>
      </c>
      <c r="J413" s="21">
        <v>145</v>
      </c>
      <c r="K413" s="18" t="s">
        <v>276</v>
      </c>
      <c r="L413" s="22">
        <v>79750</v>
      </c>
      <c r="M413" s="23">
        <v>-2377.58</v>
      </c>
      <c r="N413" s="23">
        <v>77372.42</v>
      </c>
      <c r="O413" s="19" t="s">
        <v>22</v>
      </c>
    </row>
    <row r="414" spans="1:15" s="4" customFormat="1" ht="19.25" customHeight="1" x14ac:dyDescent="0.45">
      <c r="A414" s="18" t="s">
        <v>614</v>
      </c>
      <c r="B414" s="18" t="s">
        <v>423</v>
      </c>
      <c r="C414" s="18" t="s">
        <v>424</v>
      </c>
      <c r="D414" s="18" t="s">
        <v>425</v>
      </c>
      <c r="E414" s="18" t="s">
        <v>426</v>
      </c>
      <c r="F414" s="19" t="s">
        <v>611</v>
      </c>
      <c r="G414" s="20">
        <v>45386</v>
      </c>
      <c r="H414" s="20">
        <v>45386</v>
      </c>
      <c r="I414" s="20">
        <v>45386</v>
      </c>
      <c r="J414" s="21">
        <v>22700</v>
      </c>
      <c r="K414" s="18" t="s">
        <v>615</v>
      </c>
      <c r="L414" s="22">
        <v>1884100</v>
      </c>
      <c r="M414" s="23">
        <v>-56170.54</v>
      </c>
      <c r="N414" s="23">
        <v>1827929.46</v>
      </c>
      <c r="O414" s="19" t="s">
        <v>22</v>
      </c>
    </row>
    <row r="415" spans="1:15" s="4" customFormat="1" ht="19.25" customHeight="1" x14ac:dyDescent="0.45">
      <c r="A415" s="18" t="s">
        <v>616</v>
      </c>
      <c r="B415" s="18" t="s">
        <v>423</v>
      </c>
      <c r="C415" s="18" t="s">
        <v>424</v>
      </c>
      <c r="D415" s="18" t="s">
        <v>425</v>
      </c>
      <c r="E415" s="18" t="s">
        <v>426</v>
      </c>
      <c r="F415" s="19" t="s">
        <v>617</v>
      </c>
      <c r="G415" s="20">
        <v>45386</v>
      </c>
      <c r="H415" s="20">
        <v>45386</v>
      </c>
      <c r="I415" s="20">
        <v>45386</v>
      </c>
      <c r="J415" s="21">
        <v>97.34</v>
      </c>
      <c r="K415" s="18" t="s">
        <v>609</v>
      </c>
      <c r="L415" s="22">
        <v>730050</v>
      </c>
      <c r="M415" s="23">
        <v>-21764.93</v>
      </c>
      <c r="N415" s="23">
        <v>708285.07</v>
      </c>
      <c r="O415" s="19" t="s">
        <v>22</v>
      </c>
    </row>
    <row r="416" spans="1:15" s="4" customFormat="1" ht="19.25" customHeight="1" x14ac:dyDescent="0.45">
      <c r="A416" s="18" t="s">
        <v>618</v>
      </c>
      <c r="B416" s="18" t="s">
        <v>423</v>
      </c>
      <c r="C416" s="18" t="s">
        <v>424</v>
      </c>
      <c r="D416" s="18" t="s">
        <v>425</v>
      </c>
      <c r="E416" s="18" t="s">
        <v>426</v>
      </c>
      <c r="F416" s="19" t="s">
        <v>619</v>
      </c>
      <c r="G416" s="20">
        <v>45386</v>
      </c>
      <c r="H416" s="20">
        <v>45386</v>
      </c>
      <c r="I416" s="20">
        <v>45386</v>
      </c>
      <c r="J416" s="21">
        <v>28.5</v>
      </c>
      <c r="K416" s="18" t="s">
        <v>609</v>
      </c>
      <c r="L416" s="22">
        <v>99750</v>
      </c>
      <c r="M416" s="23">
        <v>-2973.84</v>
      </c>
      <c r="N416" s="23">
        <v>96776.16</v>
      </c>
      <c r="O416" s="19" t="s">
        <v>22</v>
      </c>
    </row>
    <row r="417" spans="1:15" s="4" customFormat="1" ht="19.25" customHeight="1" x14ac:dyDescent="0.45">
      <c r="A417" s="18" t="s">
        <v>620</v>
      </c>
      <c r="B417" s="18" t="s">
        <v>423</v>
      </c>
      <c r="C417" s="18" t="s">
        <v>424</v>
      </c>
      <c r="D417" s="18" t="s">
        <v>425</v>
      </c>
      <c r="E417" s="18" t="s">
        <v>426</v>
      </c>
      <c r="F417" s="19" t="s">
        <v>621</v>
      </c>
      <c r="G417" s="20">
        <v>45386</v>
      </c>
      <c r="H417" s="20">
        <v>45386</v>
      </c>
      <c r="I417" s="20">
        <v>45386</v>
      </c>
      <c r="J417" s="21">
        <v>185</v>
      </c>
      <c r="K417" s="18" t="s">
        <v>276</v>
      </c>
      <c r="L417" s="22">
        <v>6327000</v>
      </c>
      <c r="M417" s="23">
        <v>-188626.42</v>
      </c>
      <c r="N417" s="23">
        <v>6138373.5800000001</v>
      </c>
      <c r="O417" s="19" t="s">
        <v>22</v>
      </c>
    </row>
    <row r="418" spans="1:15" s="4" customFormat="1" ht="19.25" customHeight="1" x14ac:dyDescent="0.45">
      <c r="A418" s="18" t="s">
        <v>622</v>
      </c>
      <c r="B418" s="18" t="s">
        <v>423</v>
      </c>
      <c r="C418" s="18" t="s">
        <v>424</v>
      </c>
      <c r="D418" s="18" t="s">
        <v>425</v>
      </c>
      <c r="E418" s="18" t="s">
        <v>426</v>
      </c>
      <c r="F418" s="19" t="s">
        <v>611</v>
      </c>
      <c r="G418" s="20">
        <v>45386</v>
      </c>
      <c r="H418" s="20">
        <v>45386</v>
      </c>
      <c r="I418" s="20">
        <v>45386</v>
      </c>
      <c r="J418" s="21">
        <v>146</v>
      </c>
      <c r="K418" s="18" t="s">
        <v>609</v>
      </c>
      <c r="L418" s="22">
        <v>868700</v>
      </c>
      <c r="M418" s="23">
        <v>-25898.49</v>
      </c>
      <c r="N418" s="23">
        <v>842801.51</v>
      </c>
      <c r="O418" s="19" t="s">
        <v>22</v>
      </c>
    </row>
    <row r="419" spans="1:15" s="4" customFormat="1" ht="19.25" customHeight="1" x14ac:dyDescent="0.45">
      <c r="A419" s="18" t="s">
        <v>623</v>
      </c>
      <c r="B419" s="18" t="s">
        <v>423</v>
      </c>
      <c r="C419" s="18" t="s">
        <v>424</v>
      </c>
      <c r="D419" s="18" t="s">
        <v>425</v>
      </c>
      <c r="E419" s="18" t="s">
        <v>426</v>
      </c>
      <c r="F419" s="19" t="s">
        <v>624</v>
      </c>
      <c r="G419" s="20">
        <v>45386</v>
      </c>
      <c r="H419" s="20">
        <v>45386</v>
      </c>
      <c r="I419" s="20">
        <v>45386</v>
      </c>
      <c r="J419" s="21">
        <v>54.43</v>
      </c>
      <c r="K419" s="18" t="s">
        <v>227</v>
      </c>
      <c r="L419" s="22">
        <v>15784.7</v>
      </c>
      <c r="M419" s="23">
        <v>-470.59</v>
      </c>
      <c r="N419" s="23">
        <v>15314.11</v>
      </c>
      <c r="O419" s="18" t="s">
        <v>22</v>
      </c>
    </row>
    <row r="420" spans="1:15" s="4" customFormat="1" ht="19.25" customHeight="1" x14ac:dyDescent="0.45">
      <c r="A420" s="18" t="s">
        <v>625</v>
      </c>
      <c r="B420" s="18" t="s">
        <v>423</v>
      </c>
      <c r="C420" s="18" t="s">
        <v>424</v>
      </c>
      <c r="D420" s="18" t="s">
        <v>425</v>
      </c>
      <c r="E420" s="18" t="s">
        <v>426</v>
      </c>
      <c r="F420" s="19" t="s">
        <v>624</v>
      </c>
      <c r="G420" s="20">
        <v>45386</v>
      </c>
      <c r="H420" s="20">
        <v>45386</v>
      </c>
      <c r="I420" s="20">
        <v>45386</v>
      </c>
      <c r="J420" s="21">
        <v>53.04</v>
      </c>
      <c r="K420" s="18" t="s">
        <v>227</v>
      </c>
      <c r="L420" s="22">
        <v>15381.6</v>
      </c>
      <c r="M420" s="23">
        <v>-458.57</v>
      </c>
      <c r="N420" s="23">
        <v>14923.03</v>
      </c>
      <c r="O420" s="18" t="s">
        <v>22</v>
      </c>
    </row>
    <row r="421" spans="1:15" s="4" customFormat="1" ht="19.25" customHeight="1" x14ac:dyDescent="0.45">
      <c r="A421" s="18" t="s">
        <v>626</v>
      </c>
      <c r="B421" s="18" t="s">
        <v>423</v>
      </c>
      <c r="C421" s="18" t="s">
        <v>424</v>
      </c>
      <c r="D421" s="18" t="s">
        <v>425</v>
      </c>
      <c r="E421" s="18" t="s">
        <v>426</v>
      </c>
      <c r="F421" s="19" t="s">
        <v>624</v>
      </c>
      <c r="G421" s="20">
        <v>45386</v>
      </c>
      <c r="H421" s="20">
        <v>45386</v>
      </c>
      <c r="I421" s="20">
        <v>45386</v>
      </c>
      <c r="J421" s="21">
        <v>3.65</v>
      </c>
      <c r="K421" s="18" t="s">
        <v>227</v>
      </c>
      <c r="L421" s="22">
        <v>26280</v>
      </c>
      <c r="M421" s="23">
        <v>-783.48</v>
      </c>
      <c r="N421" s="23">
        <v>25496.52</v>
      </c>
      <c r="O421" s="18" t="s">
        <v>22</v>
      </c>
    </row>
    <row r="422" spans="1:15" s="4" customFormat="1" ht="19.25" customHeight="1" x14ac:dyDescent="0.45">
      <c r="A422" s="18" t="s">
        <v>627</v>
      </c>
      <c r="B422" s="18" t="s">
        <v>423</v>
      </c>
      <c r="C422" s="18" t="s">
        <v>424</v>
      </c>
      <c r="D422" s="18" t="s">
        <v>425</v>
      </c>
      <c r="E422" s="18" t="s">
        <v>426</v>
      </c>
      <c r="F422" s="19" t="s">
        <v>624</v>
      </c>
      <c r="G422" s="20">
        <v>45386</v>
      </c>
      <c r="H422" s="20">
        <v>45386</v>
      </c>
      <c r="I422" s="20">
        <v>45386</v>
      </c>
      <c r="J422" s="21">
        <v>18.68</v>
      </c>
      <c r="K422" s="18" t="s">
        <v>227</v>
      </c>
      <c r="L422" s="22">
        <v>184902.3</v>
      </c>
      <c r="M422" s="23">
        <v>-5512.48</v>
      </c>
      <c r="N422" s="23">
        <v>179389.82</v>
      </c>
      <c r="O422" s="18" t="s">
        <v>22</v>
      </c>
    </row>
    <row r="423" spans="1:15" s="4" customFormat="1" ht="19.25" customHeight="1" x14ac:dyDescent="0.45">
      <c r="A423" s="18" t="s">
        <v>628</v>
      </c>
      <c r="B423" s="18" t="s">
        <v>423</v>
      </c>
      <c r="C423" s="18" t="s">
        <v>424</v>
      </c>
      <c r="D423" s="18" t="s">
        <v>425</v>
      </c>
      <c r="E423" s="18" t="s">
        <v>426</v>
      </c>
      <c r="F423" s="19" t="s">
        <v>624</v>
      </c>
      <c r="G423" s="20">
        <v>45386</v>
      </c>
      <c r="H423" s="20">
        <v>45386</v>
      </c>
      <c r="I423" s="20">
        <v>45386</v>
      </c>
      <c r="J423" s="21">
        <v>114.15</v>
      </c>
      <c r="K423" s="18" t="s">
        <v>276</v>
      </c>
      <c r="L423" s="22">
        <v>85612.5</v>
      </c>
      <c r="M423" s="23">
        <v>-2552.36</v>
      </c>
      <c r="N423" s="23">
        <v>83060.14</v>
      </c>
      <c r="O423" s="18" t="s">
        <v>22</v>
      </c>
    </row>
    <row r="424" spans="1:15" s="4" customFormat="1" ht="19.25" customHeight="1" x14ac:dyDescent="0.45">
      <c r="A424" s="18" t="s">
        <v>629</v>
      </c>
      <c r="B424" s="18" t="s">
        <v>423</v>
      </c>
      <c r="C424" s="18" t="s">
        <v>424</v>
      </c>
      <c r="D424" s="18" t="s">
        <v>425</v>
      </c>
      <c r="E424" s="18" t="s">
        <v>426</v>
      </c>
      <c r="F424" s="19" t="s">
        <v>624</v>
      </c>
      <c r="G424" s="20">
        <v>45386</v>
      </c>
      <c r="H424" s="20">
        <v>45386</v>
      </c>
      <c r="I424" s="20">
        <v>45386</v>
      </c>
      <c r="J424" s="21">
        <v>2066.19</v>
      </c>
      <c r="K424" s="18" t="s">
        <v>615</v>
      </c>
      <c r="L424" s="22">
        <v>181824.72</v>
      </c>
      <c r="M424" s="23">
        <v>-5420.73</v>
      </c>
      <c r="N424" s="23">
        <v>176403.99</v>
      </c>
      <c r="O424" s="18" t="s">
        <v>22</v>
      </c>
    </row>
    <row r="425" spans="1:15" s="4" customFormat="1" ht="19.25" customHeight="1" x14ac:dyDescent="0.45">
      <c r="A425" s="18" t="s">
        <v>630</v>
      </c>
      <c r="B425" s="18" t="s">
        <v>423</v>
      </c>
      <c r="C425" s="18" t="s">
        <v>424</v>
      </c>
      <c r="D425" s="18" t="s">
        <v>425</v>
      </c>
      <c r="E425" s="18" t="s">
        <v>426</v>
      </c>
      <c r="F425" s="19" t="s">
        <v>624</v>
      </c>
      <c r="G425" s="20">
        <v>45386</v>
      </c>
      <c r="H425" s="20">
        <v>45386</v>
      </c>
      <c r="I425" s="20">
        <v>45386</v>
      </c>
      <c r="J425" s="21">
        <v>18.29</v>
      </c>
      <c r="K425" s="18" t="s">
        <v>276</v>
      </c>
      <c r="L425" s="22">
        <v>10974</v>
      </c>
      <c r="M425" s="23">
        <v>-327.17</v>
      </c>
      <c r="N425" s="23">
        <v>10646.83</v>
      </c>
      <c r="O425" s="18" t="s">
        <v>22</v>
      </c>
    </row>
    <row r="426" spans="1:15" s="4" customFormat="1" ht="19.25" customHeight="1" x14ac:dyDescent="0.45">
      <c r="A426" s="18" t="s">
        <v>631</v>
      </c>
      <c r="B426" s="18" t="s">
        <v>423</v>
      </c>
      <c r="C426" s="18" t="s">
        <v>424</v>
      </c>
      <c r="D426" s="18" t="s">
        <v>425</v>
      </c>
      <c r="E426" s="18" t="s">
        <v>426</v>
      </c>
      <c r="F426" s="19" t="s">
        <v>624</v>
      </c>
      <c r="G426" s="20">
        <v>45386</v>
      </c>
      <c r="H426" s="20">
        <v>45386</v>
      </c>
      <c r="I426" s="20">
        <v>45386</v>
      </c>
      <c r="J426" s="21">
        <v>9.7100000000000009</v>
      </c>
      <c r="K426" s="18" t="s">
        <v>227</v>
      </c>
      <c r="L426" s="22">
        <v>106843</v>
      </c>
      <c r="M426" s="23">
        <v>-3185.3</v>
      </c>
      <c r="N426" s="23">
        <v>103657.7</v>
      </c>
      <c r="O426" s="18" t="s">
        <v>22</v>
      </c>
    </row>
    <row r="427" spans="1:15" s="4" customFormat="1" ht="19.25" customHeight="1" x14ac:dyDescent="0.45">
      <c r="A427" s="18" t="s">
        <v>632</v>
      </c>
      <c r="B427" s="18" t="s">
        <v>423</v>
      </c>
      <c r="C427" s="18" t="s">
        <v>424</v>
      </c>
      <c r="D427" s="18" t="s">
        <v>425</v>
      </c>
      <c r="E427" s="18" t="s">
        <v>426</v>
      </c>
      <c r="F427" s="19" t="s">
        <v>624</v>
      </c>
      <c r="G427" s="20">
        <v>45386</v>
      </c>
      <c r="H427" s="20">
        <v>45386</v>
      </c>
      <c r="I427" s="20">
        <v>45386</v>
      </c>
      <c r="J427" s="21">
        <v>83.2</v>
      </c>
      <c r="K427" s="18" t="s">
        <v>276</v>
      </c>
      <c r="L427" s="22">
        <v>24128</v>
      </c>
      <c r="M427" s="23">
        <v>-719.33</v>
      </c>
      <c r="N427" s="23">
        <v>23408.67</v>
      </c>
      <c r="O427" s="18" t="s">
        <v>22</v>
      </c>
    </row>
    <row r="428" spans="1:15" s="4" customFormat="1" ht="19.25" customHeight="1" x14ac:dyDescent="0.45">
      <c r="A428" s="18" t="s">
        <v>633</v>
      </c>
      <c r="B428" s="18" t="s">
        <v>423</v>
      </c>
      <c r="C428" s="18" t="s">
        <v>424</v>
      </c>
      <c r="D428" s="18" t="s">
        <v>425</v>
      </c>
      <c r="E428" s="18" t="s">
        <v>426</v>
      </c>
      <c r="F428" s="19" t="s">
        <v>624</v>
      </c>
      <c r="G428" s="20">
        <v>45386</v>
      </c>
      <c r="H428" s="20">
        <v>45386</v>
      </c>
      <c r="I428" s="20">
        <v>45386</v>
      </c>
      <c r="J428" s="21">
        <v>113.19</v>
      </c>
      <c r="K428" s="18" t="s">
        <v>276</v>
      </c>
      <c r="L428" s="22">
        <v>83760.600000000006</v>
      </c>
      <c r="M428" s="23">
        <v>-2497.15</v>
      </c>
      <c r="N428" s="23">
        <v>81263.45</v>
      </c>
      <c r="O428" s="18" t="s">
        <v>22</v>
      </c>
    </row>
    <row r="429" spans="1:15" s="4" customFormat="1" ht="19.25" customHeight="1" x14ac:dyDescent="0.45">
      <c r="A429" s="18" t="s">
        <v>634</v>
      </c>
      <c r="B429" s="18" t="s">
        <v>423</v>
      </c>
      <c r="C429" s="18" t="s">
        <v>424</v>
      </c>
      <c r="D429" s="18" t="s">
        <v>425</v>
      </c>
      <c r="E429" s="18" t="s">
        <v>426</v>
      </c>
      <c r="F429" s="19" t="s">
        <v>624</v>
      </c>
      <c r="G429" s="20">
        <v>45386</v>
      </c>
      <c r="H429" s="20">
        <v>45386</v>
      </c>
      <c r="I429" s="20">
        <v>45386</v>
      </c>
      <c r="J429" s="21">
        <v>114.96</v>
      </c>
      <c r="K429" s="18" t="s">
        <v>276</v>
      </c>
      <c r="L429" s="22">
        <v>36442.32</v>
      </c>
      <c r="M429" s="23">
        <v>-1086.45</v>
      </c>
      <c r="N429" s="23">
        <v>35355.870000000003</v>
      </c>
      <c r="O429" s="18" t="s">
        <v>22</v>
      </c>
    </row>
    <row r="430" spans="1:15" s="4" customFormat="1" ht="19.25" customHeight="1" x14ac:dyDescent="0.45">
      <c r="A430" s="18" t="s">
        <v>635</v>
      </c>
      <c r="B430" s="18" t="s">
        <v>423</v>
      </c>
      <c r="C430" s="18" t="s">
        <v>424</v>
      </c>
      <c r="D430" s="18" t="s">
        <v>425</v>
      </c>
      <c r="E430" s="18" t="s">
        <v>426</v>
      </c>
      <c r="F430" s="19" t="s">
        <v>624</v>
      </c>
      <c r="G430" s="20">
        <v>45386</v>
      </c>
      <c r="H430" s="20">
        <v>45386</v>
      </c>
      <c r="I430" s="20">
        <v>45386</v>
      </c>
      <c r="J430" s="21">
        <v>119.55</v>
      </c>
      <c r="K430" s="18" t="s">
        <v>276</v>
      </c>
      <c r="L430" s="22">
        <v>88467</v>
      </c>
      <c r="M430" s="23">
        <v>-2637.46</v>
      </c>
      <c r="N430" s="23">
        <v>85829.54</v>
      </c>
      <c r="O430" s="18" t="s">
        <v>22</v>
      </c>
    </row>
    <row r="431" spans="1:15" s="4" customFormat="1" ht="19.25" customHeight="1" x14ac:dyDescent="0.45">
      <c r="A431" s="18" t="s">
        <v>636</v>
      </c>
      <c r="B431" s="18" t="s">
        <v>423</v>
      </c>
      <c r="C431" s="18" t="s">
        <v>424</v>
      </c>
      <c r="D431" s="18" t="s">
        <v>425</v>
      </c>
      <c r="E431" s="18" t="s">
        <v>426</v>
      </c>
      <c r="F431" s="19" t="s">
        <v>624</v>
      </c>
      <c r="G431" s="20">
        <v>45386</v>
      </c>
      <c r="H431" s="20">
        <v>45386</v>
      </c>
      <c r="I431" s="20">
        <v>45386</v>
      </c>
      <c r="J431" s="21">
        <v>22.27</v>
      </c>
      <c r="K431" s="18" t="s">
        <v>276</v>
      </c>
      <c r="L431" s="22">
        <v>13362</v>
      </c>
      <c r="M431" s="23">
        <v>-398.36</v>
      </c>
      <c r="N431" s="23">
        <v>12963.64</v>
      </c>
      <c r="O431" s="18" t="s">
        <v>22</v>
      </c>
    </row>
    <row r="432" spans="1:15" s="4" customFormat="1" ht="19.25" customHeight="1" x14ac:dyDescent="0.45">
      <c r="A432" s="18" t="s">
        <v>637</v>
      </c>
      <c r="B432" s="18" t="s">
        <v>423</v>
      </c>
      <c r="C432" s="18" t="s">
        <v>424</v>
      </c>
      <c r="D432" s="18" t="s">
        <v>425</v>
      </c>
      <c r="E432" s="18" t="s">
        <v>426</v>
      </c>
      <c r="F432" s="19" t="s">
        <v>624</v>
      </c>
      <c r="G432" s="20">
        <v>45386</v>
      </c>
      <c r="H432" s="20">
        <v>45386</v>
      </c>
      <c r="I432" s="20">
        <v>45386</v>
      </c>
      <c r="J432" s="21">
        <v>16.89</v>
      </c>
      <c r="K432" s="18" t="s">
        <v>276</v>
      </c>
      <c r="L432" s="22">
        <v>24490.5</v>
      </c>
      <c r="M432" s="23">
        <v>-730.13</v>
      </c>
      <c r="N432" s="23">
        <v>23760.37</v>
      </c>
      <c r="O432" s="18" t="s">
        <v>22</v>
      </c>
    </row>
    <row r="433" spans="1:15" s="4" customFormat="1" ht="19.25" customHeight="1" x14ac:dyDescent="0.45">
      <c r="A433" s="18" t="s">
        <v>638</v>
      </c>
      <c r="B433" s="18" t="s">
        <v>423</v>
      </c>
      <c r="C433" s="18" t="s">
        <v>424</v>
      </c>
      <c r="D433" s="18" t="s">
        <v>425</v>
      </c>
      <c r="E433" s="18" t="s">
        <v>426</v>
      </c>
      <c r="F433" s="19" t="s">
        <v>624</v>
      </c>
      <c r="G433" s="20">
        <v>45386</v>
      </c>
      <c r="H433" s="20">
        <v>45386</v>
      </c>
      <c r="I433" s="20">
        <v>45386</v>
      </c>
      <c r="J433" s="21">
        <v>2</v>
      </c>
      <c r="K433" s="18" t="s">
        <v>21</v>
      </c>
      <c r="L433" s="22">
        <v>12000</v>
      </c>
      <c r="M433" s="23">
        <v>-357.76</v>
      </c>
      <c r="N433" s="23">
        <v>11642.24</v>
      </c>
      <c r="O433" s="18" t="s">
        <v>22</v>
      </c>
    </row>
    <row r="434" spans="1:15" s="4" customFormat="1" ht="19.25" customHeight="1" x14ac:dyDescent="0.45">
      <c r="A434" s="18" t="s">
        <v>639</v>
      </c>
      <c r="B434" s="18" t="s">
        <v>423</v>
      </c>
      <c r="C434" s="18" t="s">
        <v>424</v>
      </c>
      <c r="D434" s="18" t="s">
        <v>425</v>
      </c>
      <c r="E434" s="18" t="s">
        <v>426</v>
      </c>
      <c r="F434" s="19" t="s">
        <v>624</v>
      </c>
      <c r="G434" s="20">
        <v>45386</v>
      </c>
      <c r="H434" s="20">
        <v>45386</v>
      </c>
      <c r="I434" s="20">
        <v>45386</v>
      </c>
      <c r="J434" s="21">
        <v>45.46</v>
      </c>
      <c r="K434" s="18" t="s">
        <v>276</v>
      </c>
      <c r="L434" s="22">
        <v>32733.200000000001</v>
      </c>
      <c r="M434" s="23">
        <v>-975.87</v>
      </c>
      <c r="N434" s="23">
        <v>31757.33</v>
      </c>
      <c r="O434" s="18" t="s">
        <v>22</v>
      </c>
    </row>
    <row r="435" spans="1:15" s="4" customFormat="1" ht="19.25" customHeight="1" x14ac:dyDescent="0.45">
      <c r="A435" s="18" t="s">
        <v>640</v>
      </c>
      <c r="B435" s="18" t="s">
        <v>641</v>
      </c>
      <c r="C435" s="18" t="s">
        <v>642</v>
      </c>
      <c r="D435" s="18" t="s">
        <v>643</v>
      </c>
      <c r="E435" s="18" t="s">
        <v>644</v>
      </c>
      <c r="F435" s="19" t="s">
        <v>645</v>
      </c>
      <c r="G435" s="20">
        <v>45386</v>
      </c>
      <c r="H435" s="20">
        <v>45386</v>
      </c>
      <c r="I435" s="20">
        <v>45386</v>
      </c>
      <c r="J435" s="21">
        <v>1</v>
      </c>
      <c r="K435" s="18" t="s">
        <v>90</v>
      </c>
      <c r="L435" s="22">
        <v>72669.3</v>
      </c>
      <c r="M435" s="23">
        <v>-9729.7199999999993</v>
      </c>
      <c r="N435" s="23">
        <v>62939.58</v>
      </c>
      <c r="O435" s="19" t="s">
        <v>22</v>
      </c>
    </row>
    <row r="436" spans="1:15" s="4" customFormat="1" ht="19.25" customHeight="1" x14ac:dyDescent="0.45">
      <c r="A436" s="18" t="s">
        <v>646</v>
      </c>
      <c r="B436" s="18" t="s">
        <v>641</v>
      </c>
      <c r="C436" s="18" t="s">
        <v>642</v>
      </c>
      <c r="D436" s="18" t="s">
        <v>643</v>
      </c>
      <c r="E436" s="18" t="s">
        <v>644</v>
      </c>
      <c r="F436" s="19" t="s">
        <v>647</v>
      </c>
      <c r="G436" s="20">
        <v>45386</v>
      </c>
      <c r="H436" s="20">
        <v>45386</v>
      </c>
      <c r="I436" s="20">
        <v>45386</v>
      </c>
      <c r="J436" s="21">
        <v>1</v>
      </c>
      <c r="K436" s="18" t="s">
        <v>90</v>
      </c>
      <c r="L436" s="22">
        <v>1</v>
      </c>
      <c r="M436" s="23">
        <v>-0.13</v>
      </c>
      <c r="N436" s="23">
        <v>0.87</v>
      </c>
      <c r="O436" s="19" t="s">
        <v>22</v>
      </c>
    </row>
    <row r="437" spans="1:15" s="4" customFormat="1" ht="19.25" customHeight="1" x14ac:dyDescent="0.45">
      <c r="A437" s="18" t="s">
        <v>648</v>
      </c>
      <c r="B437" s="18" t="s">
        <v>641</v>
      </c>
      <c r="C437" s="18" t="s">
        <v>642</v>
      </c>
      <c r="D437" s="18" t="s">
        <v>643</v>
      </c>
      <c r="E437" s="18" t="s">
        <v>644</v>
      </c>
      <c r="F437" s="19" t="s">
        <v>649</v>
      </c>
      <c r="G437" s="20">
        <v>45386</v>
      </c>
      <c r="H437" s="20">
        <v>45386</v>
      </c>
      <c r="I437" s="20">
        <v>45386</v>
      </c>
      <c r="J437" s="21">
        <v>1</v>
      </c>
      <c r="K437" s="18" t="s">
        <v>90</v>
      </c>
      <c r="L437" s="22">
        <v>69584.600000000006</v>
      </c>
      <c r="M437" s="23">
        <v>-9316.7099999999991</v>
      </c>
      <c r="N437" s="23">
        <v>60267.89</v>
      </c>
      <c r="O437" s="19" t="s">
        <v>22</v>
      </c>
    </row>
    <row r="438" spans="1:15" s="4" customFormat="1" ht="19.25" customHeight="1" x14ac:dyDescent="0.45">
      <c r="A438" s="18" t="s">
        <v>650</v>
      </c>
      <c r="B438" s="18" t="s">
        <v>641</v>
      </c>
      <c r="C438" s="18" t="s">
        <v>642</v>
      </c>
      <c r="D438" s="18" t="s">
        <v>643</v>
      </c>
      <c r="E438" s="18" t="s">
        <v>644</v>
      </c>
      <c r="F438" s="19" t="s">
        <v>649</v>
      </c>
      <c r="G438" s="20">
        <v>45386</v>
      </c>
      <c r="H438" s="20">
        <v>45386</v>
      </c>
      <c r="I438" s="20">
        <v>45386</v>
      </c>
      <c r="J438" s="21">
        <v>1</v>
      </c>
      <c r="K438" s="18" t="s">
        <v>90</v>
      </c>
      <c r="L438" s="22">
        <v>69584.600000000006</v>
      </c>
      <c r="M438" s="23">
        <v>-9316.7099999999991</v>
      </c>
      <c r="N438" s="23">
        <v>60267.89</v>
      </c>
      <c r="O438" s="19" t="s">
        <v>22</v>
      </c>
    </row>
    <row r="439" spans="1:15" s="4" customFormat="1" ht="19.25" customHeight="1" x14ac:dyDescent="0.45">
      <c r="A439" s="18" t="s">
        <v>651</v>
      </c>
      <c r="B439" s="18" t="s">
        <v>641</v>
      </c>
      <c r="C439" s="18" t="s">
        <v>642</v>
      </c>
      <c r="D439" s="18" t="s">
        <v>643</v>
      </c>
      <c r="E439" s="18" t="s">
        <v>644</v>
      </c>
      <c r="F439" s="19" t="s">
        <v>652</v>
      </c>
      <c r="G439" s="20">
        <v>45386</v>
      </c>
      <c r="H439" s="20">
        <v>45386</v>
      </c>
      <c r="I439" s="20">
        <v>45386</v>
      </c>
      <c r="J439" s="21">
        <v>1</v>
      </c>
      <c r="K439" s="18" t="s">
        <v>90</v>
      </c>
      <c r="L439" s="22">
        <v>6726.01</v>
      </c>
      <c r="M439" s="23">
        <v>-900.55</v>
      </c>
      <c r="N439" s="23">
        <v>5825.46</v>
      </c>
      <c r="O439" s="18" t="s">
        <v>22</v>
      </c>
    </row>
    <row r="440" spans="1:15" s="4" customFormat="1" ht="19.25" customHeight="1" x14ac:dyDescent="0.45">
      <c r="A440" s="18" t="s">
        <v>653</v>
      </c>
      <c r="B440" s="18" t="s">
        <v>641</v>
      </c>
      <c r="C440" s="18" t="s">
        <v>642</v>
      </c>
      <c r="D440" s="18" t="s">
        <v>643</v>
      </c>
      <c r="E440" s="18" t="s">
        <v>644</v>
      </c>
      <c r="F440" s="19" t="s">
        <v>652</v>
      </c>
      <c r="G440" s="20">
        <v>45386</v>
      </c>
      <c r="H440" s="20">
        <v>45386</v>
      </c>
      <c r="I440" s="20">
        <v>45386</v>
      </c>
      <c r="J440" s="21">
        <v>1</v>
      </c>
      <c r="K440" s="18" t="s">
        <v>90</v>
      </c>
      <c r="L440" s="22">
        <v>6726.01</v>
      </c>
      <c r="M440" s="23">
        <v>-900.55</v>
      </c>
      <c r="N440" s="23">
        <v>5825.46</v>
      </c>
      <c r="O440" s="18" t="s">
        <v>22</v>
      </c>
    </row>
    <row r="441" spans="1:15" s="4" customFormat="1" ht="19.25" customHeight="1" x14ac:dyDescent="0.45">
      <c r="A441" s="18" t="s">
        <v>654</v>
      </c>
      <c r="B441" s="18" t="s">
        <v>394</v>
      </c>
      <c r="C441" s="18" t="s">
        <v>395</v>
      </c>
      <c r="D441" s="18" t="s">
        <v>396</v>
      </c>
      <c r="E441" s="18" t="s">
        <v>397</v>
      </c>
      <c r="F441" s="19" t="s">
        <v>655</v>
      </c>
      <c r="G441" s="20">
        <v>45386</v>
      </c>
      <c r="H441" s="20">
        <v>45386</v>
      </c>
      <c r="I441" s="20">
        <v>45386</v>
      </c>
      <c r="J441" s="21">
        <v>1880</v>
      </c>
      <c r="K441" s="18" t="s">
        <v>83</v>
      </c>
      <c r="L441" s="22">
        <v>4277000</v>
      </c>
      <c r="M441" s="23">
        <v>-201572.55</v>
      </c>
      <c r="N441" s="23">
        <v>4075427.45</v>
      </c>
      <c r="O441" s="18" t="s">
        <v>22</v>
      </c>
    </row>
    <row r="442" spans="1:15" s="4" customFormat="1" ht="19.25" customHeight="1" x14ac:dyDescent="0.45">
      <c r="A442" s="18" t="s">
        <v>656</v>
      </c>
      <c r="B442" s="18" t="s">
        <v>394</v>
      </c>
      <c r="C442" s="18" t="s">
        <v>395</v>
      </c>
      <c r="D442" s="18" t="s">
        <v>396</v>
      </c>
      <c r="E442" s="18" t="s">
        <v>397</v>
      </c>
      <c r="F442" s="19" t="s">
        <v>657</v>
      </c>
      <c r="G442" s="20">
        <v>45386</v>
      </c>
      <c r="H442" s="20">
        <v>45386</v>
      </c>
      <c r="I442" s="20">
        <v>45386</v>
      </c>
      <c r="J442" s="21">
        <v>72</v>
      </c>
      <c r="K442" s="18" t="s">
        <v>83</v>
      </c>
      <c r="L442" s="22">
        <v>505800</v>
      </c>
      <c r="M442" s="23">
        <v>-23838.06</v>
      </c>
      <c r="N442" s="23">
        <v>481961.94</v>
      </c>
      <c r="O442" s="19" t="s">
        <v>22</v>
      </c>
    </row>
    <row r="443" spans="1:15" s="4" customFormat="1" ht="19.25" customHeight="1" x14ac:dyDescent="0.45">
      <c r="A443" s="18" t="s">
        <v>658</v>
      </c>
      <c r="B443" s="18" t="s">
        <v>394</v>
      </c>
      <c r="C443" s="18" t="s">
        <v>395</v>
      </c>
      <c r="D443" s="18" t="s">
        <v>396</v>
      </c>
      <c r="E443" s="18" t="s">
        <v>397</v>
      </c>
      <c r="F443" s="19" t="s">
        <v>659</v>
      </c>
      <c r="G443" s="20">
        <v>45386</v>
      </c>
      <c r="H443" s="20">
        <v>45386</v>
      </c>
      <c r="I443" s="20">
        <v>45386</v>
      </c>
      <c r="J443" s="21">
        <v>2</v>
      </c>
      <c r="K443" s="18" t="s">
        <v>83</v>
      </c>
      <c r="L443" s="22">
        <v>90000</v>
      </c>
      <c r="M443" s="23">
        <v>-4241.6499999999996</v>
      </c>
      <c r="N443" s="23">
        <v>85758.35</v>
      </c>
      <c r="O443" s="19" t="s">
        <v>22</v>
      </c>
    </row>
    <row r="444" spans="1:15" s="4" customFormat="1" ht="19.25" customHeight="1" x14ac:dyDescent="0.45">
      <c r="A444" s="18" t="s">
        <v>660</v>
      </c>
      <c r="B444" s="18" t="s">
        <v>394</v>
      </c>
      <c r="C444" s="18" t="s">
        <v>395</v>
      </c>
      <c r="D444" s="18" t="s">
        <v>396</v>
      </c>
      <c r="E444" s="18" t="s">
        <v>397</v>
      </c>
      <c r="F444" s="19" t="s">
        <v>661</v>
      </c>
      <c r="G444" s="20">
        <v>45386</v>
      </c>
      <c r="H444" s="20">
        <v>45386</v>
      </c>
      <c r="I444" s="20">
        <v>45386</v>
      </c>
      <c r="J444" s="21">
        <v>1</v>
      </c>
      <c r="K444" s="18" t="s">
        <v>83</v>
      </c>
      <c r="L444" s="22">
        <v>37500</v>
      </c>
      <c r="M444" s="23">
        <v>-1767.35</v>
      </c>
      <c r="N444" s="23">
        <v>35732.65</v>
      </c>
      <c r="O444" s="18" t="s">
        <v>22</v>
      </c>
    </row>
    <row r="445" spans="1:15" s="4" customFormat="1" ht="32.35" customHeight="1" x14ac:dyDescent="0.45">
      <c r="A445" s="18" t="s">
        <v>662</v>
      </c>
      <c r="B445" s="18" t="s">
        <v>394</v>
      </c>
      <c r="C445" s="18" t="s">
        <v>395</v>
      </c>
      <c r="D445" s="18" t="s">
        <v>396</v>
      </c>
      <c r="E445" s="18" t="s">
        <v>397</v>
      </c>
      <c r="F445" s="19" t="s">
        <v>663</v>
      </c>
      <c r="G445" s="20">
        <v>45386</v>
      </c>
      <c r="H445" s="20">
        <v>45386</v>
      </c>
      <c r="I445" s="20">
        <v>45386</v>
      </c>
      <c r="J445" s="21">
        <v>1</v>
      </c>
      <c r="K445" s="18" t="s">
        <v>83</v>
      </c>
      <c r="L445" s="22">
        <v>25000</v>
      </c>
      <c r="M445" s="23">
        <v>-1178.24</v>
      </c>
      <c r="N445" s="23">
        <v>23821.759999999998</v>
      </c>
      <c r="O445" s="18" t="s">
        <v>22</v>
      </c>
    </row>
    <row r="446" spans="1:15" s="4" customFormat="1" ht="19.25" customHeight="1" x14ac:dyDescent="0.45">
      <c r="A446" s="18" t="s">
        <v>664</v>
      </c>
      <c r="B446" s="18" t="s">
        <v>70</v>
      </c>
      <c r="C446" s="18" t="s">
        <v>71</v>
      </c>
      <c r="D446" s="18" t="s">
        <v>72</v>
      </c>
      <c r="E446" s="18" t="s">
        <v>73</v>
      </c>
      <c r="F446" s="19" t="s">
        <v>665</v>
      </c>
      <c r="G446" s="20">
        <v>45386</v>
      </c>
      <c r="H446" s="20">
        <v>45386</v>
      </c>
      <c r="I446" s="20">
        <v>45386</v>
      </c>
      <c r="J446" s="21">
        <v>27</v>
      </c>
      <c r="K446" s="18" t="s">
        <v>83</v>
      </c>
      <c r="L446" s="22">
        <v>59400</v>
      </c>
      <c r="M446" s="23">
        <v>-3356.2</v>
      </c>
      <c r="N446" s="23">
        <v>56043.8</v>
      </c>
      <c r="O446" s="18" t="s">
        <v>22</v>
      </c>
    </row>
    <row r="447" spans="1:15" s="4" customFormat="1" ht="19.25" customHeight="1" x14ac:dyDescent="0.45">
      <c r="A447" s="18" t="s">
        <v>666</v>
      </c>
      <c r="B447" s="18" t="s">
        <v>70</v>
      </c>
      <c r="C447" s="18" t="s">
        <v>71</v>
      </c>
      <c r="D447" s="18" t="s">
        <v>72</v>
      </c>
      <c r="E447" s="18" t="s">
        <v>73</v>
      </c>
      <c r="F447" s="19" t="s">
        <v>667</v>
      </c>
      <c r="G447" s="20">
        <v>45386</v>
      </c>
      <c r="H447" s="20">
        <v>45386</v>
      </c>
      <c r="I447" s="20">
        <v>45386</v>
      </c>
      <c r="J447" s="21">
        <v>135</v>
      </c>
      <c r="K447" s="18" t="s">
        <v>83</v>
      </c>
      <c r="L447" s="22">
        <v>135000</v>
      </c>
      <c r="M447" s="23">
        <v>-7627.74</v>
      </c>
      <c r="N447" s="23">
        <v>127372.26</v>
      </c>
      <c r="O447" s="18" t="s">
        <v>22</v>
      </c>
    </row>
    <row r="448" spans="1:15" s="4" customFormat="1" ht="19.25" customHeight="1" x14ac:dyDescent="0.45">
      <c r="A448" s="18" t="s">
        <v>668</v>
      </c>
      <c r="B448" s="18" t="s">
        <v>70</v>
      </c>
      <c r="C448" s="18" t="s">
        <v>71</v>
      </c>
      <c r="D448" s="18" t="s">
        <v>72</v>
      </c>
      <c r="E448" s="18" t="s">
        <v>73</v>
      </c>
      <c r="F448" s="19" t="s">
        <v>669</v>
      </c>
      <c r="G448" s="20">
        <v>45386</v>
      </c>
      <c r="H448" s="20">
        <v>45386</v>
      </c>
      <c r="I448" s="20">
        <v>45386</v>
      </c>
      <c r="J448" s="21">
        <v>14</v>
      </c>
      <c r="K448" s="18" t="s">
        <v>83</v>
      </c>
      <c r="L448" s="22">
        <v>63000</v>
      </c>
      <c r="M448" s="23">
        <v>-3559.61</v>
      </c>
      <c r="N448" s="23">
        <v>59440.39</v>
      </c>
      <c r="O448" s="18" t="s">
        <v>22</v>
      </c>
    </row>
    <row r="449" spans="1:15" s="4" customFormat="1" ht="19.25" customHeight="1" x14ac:dyDescent="0.45">
      <c r="A449" s="18" t="s">
        <v>670</v>
      </c>
      <c r="B449" s="18" t="s">
        <v>70</v>
      </c>
      <c r="C449" s="18" t="s">
        <v>71</v>
      </c>
      <c r="D449" s="18" t="s">
        <v>72</v>
      </c>
      <c r="E449" s="18" t="s">
        <v>73</v>
      </c>
      <c r="F449" s="19" t="s">
        <v>671</v>
      </c>
      <c r="G449" s="20">
        <v>45386</v>
      </c>
      <c r="H449" s="20">
        <v>45386</v>
      </c>
      <c r="I449" s="20">
        <v>45386</v>
      </c>
      <c r="J449" s="21">
        <v>18</v>
      </c>
      <c r="K449" s="18" t="s">
        <v>83</v>
      </c>
      <c r="L449" s="22">
        <v>18000</v>
      </c>
      <c r="M449" s="23">
        <v>-1017.03</v>
      </c>
      <c r="N449" s="23">
        <v>16982.97</v>
      </c>
      <c r="O449" s="18" t="s">
        <v>22</v>
      </c>
    </row>
    <row r="450" spans="1:15" s="4" customFormat="1" ht="19.25" customHeight="1" x14ac:dyDescent="0.45">
      <c r="A450" s="18" t="s">
        <v>672</v>
      </c>
      <c r="B450" s="18" t="s">
        <v>70</v>
      </c>
      <c r="C450" s="18" t="s">
        <v>71</v>
      </c>
      <c r="D450" s="18" t="s">
        <v>72</v>
      </c>
      <c r="E450" s="18" t="s">
        <v>73</v>
      </c>
      <c r="F450" s="19" t="s">
        <v>673</v>
      </c>
      <c r="G450" s="20">
        <v>45386</v>
      </c>
      <c r="H450" s="20">
        <v>45386</v>
      </c>
      <c r="I450" s="20">
        <v>45386</v>
      </c>
      <c r="J450" s="21">
        <v>40</v>
      </c>
      <c r="K450" s="18" t="s">
        <v>83</v>
      </c>
      <c r="L450" s="22">
        <v>280000</v>
      </c>
      <c r="M450" s="23">
        <v>-15820.49</v>
      </c>
      <c r="N450" s="23">
        <v>264179.51</v>
      </c>
      <c r="O450" s="18" t="s">
        <v>22</v>
      </c>
    </row>
    <row r="451" spans="1:15" s="4" customFormat="1" ht="19.25" customHeight="1" x14ac:dyDescent="0.45">
      <c r="A451" s="18" t="s">
        <v>674</v>
      </c>
      <c r="B451" s="18" t="s">
        <v>70</v>
      </c>
      <c r="C451" s="18" t="s">
        <v>71</v>
      </c>
      <c r="D451" s="18" t="s">
        <v>72</v>
      </c>
      <c r="E451" s="18" t="s">
        <v>73</v>
      </c>
      <c r="F451" s="19" t="s">
        <v>675</v>
      </c>
      <c r="G451" s="20">
        <v>45386</v>
      </c>
      <c r="H451" s="20">
        <v>45386</v>
      </c>
      <c r="I451" s="20">
        <v>45386</v>
      </c>
      <c r="J451" s="21">
        <v>20</v>
      </c>
      <c r="K451" s="18" t="s">
        <v>83</v>
      </c>
      <c r="L451" s="22">
        <v>122000</v>
      </c>
      <c r="M451" s="23">
        <v>-6893.21</v>
      </c>
      <c r="N451" s="23">
        <v>115106.79</v>
      </c>
      <c r="O451" s="18" t="s">
        <v>22</v>
      </c>
    </row>
    <row r="452" spans="1:15" s="4" customFormat="1" ht="19.25" customHeight="1" x14ac:dyDescent="0.45">
      <c r="A452" s="18" t="s">
        <v>676</v>
      </c>
      <c r="B452" s="18" t="s">
        <v>70</v>
      </c>
      <c r="C452" s="18" t="s">
        <v>71</v>
      </c>
      <c r="D452" s="18" t="s">
        <v>72</v>
      </c>
      <c r="E452" s="18" t="s">
        <v>73</v>
      </c>
      <c r="F452" s="19" t="s">
        <v>677</v>
      </c>
      <c r="G452" s="20">
        <v>45386</v>
      </c>
      <c r="H452" s="20">
        <v>45386</v>
      </c>
      <c r="I452" s="20">
        <v>45386</v>
      </c>
      <c r="J452" s="21">
        <v>10</v>
      </c>
      <c r="K452" s="18" t="s">
        <v>83</v>
      </c>
      <c r="L452" s="22">
        <v>65000</v>
      </c>
      <c r="M452" s="23">
        <v>-3672.61</v>
      </c>
      <c r="N452" s="23">
        <v>61327.39</v>
      </c>
      <c r="O452" s="18" t="s">
        <v>22</v>
      </c>
    </row>
    <row r="453" spans="1:15" s="4" customFormat="1" ht="19.25" customHeight="1" x14ac:dyDescent="0.45">
      <c r="A453" s="18" t="s">
        <v>678</v>
      </c>
      <c r="B453" s="18" t="s">
        <v>70</v>
      </c>
      <c r="C453" s="18" t="s">
        <v>71</v>
      </c>
      <c r="D453" s="18" t="s">
        <v>72</v>
      </c>
      <c r="E453" s="18" t="s">
        <v>73</v>
      </c>
      <c r="F453" s="19" t="s">
        <v>679</v>
      </c>
      <c r="G453" s="20">
        <v>45386</v>
      </c>
      <c r="H453" s="20">
        <v>45386</v>
      </c>
      <c r="I453" s="20">
        <v>45386</v>
      </c>
      <c r="J453" s="21">
        <v>2</v>
      </c>
      <c r="K453" s="18" t="s">
        <v>83</v>
      </c>
      <c r="L453" s="22">
        <v>9600</v>
      </c>
      <c r="M453" s="23">
        <v>-542.41999999999996</v>
      </c>
      <c r="N453" s="23">
        <v>9057.58</v>
      </c>
      <c r="O453" s="18" t="s">
        <v>22</v>
      </c>
    </row>
    <row r="454" spans="1:15" s="4" customFormat="1" ht="19.25" customHeight="1" x14ac:dyDescent="0.45">
      <c r="A454" s="18" t="s">
        <v>680</v>
      </c>
      <c r="B454" s="18" t="s">
        <v>70</v>
      </c>
      <c r="C454" s="18" t="s">
        <v>71</v>
      </c>
      <c r="D454" s="18" t="s">
        <v>72</v>
      </c>
      <c r="E454" s="18" t="s">
        <v>73</v>
      </c>
      <c r="F454" s="19" t="s">
        <v>681</v>
      </c>
      <c r="G454" s="20">
        <v>45386</v>
      </c>
      <c r="H454" s="20">
        <v>45386</v>
      </c>
      <c r="I454" s="20">
        <v>45386</v>
      </c>
      <c r="J454" s="21">
        <v>28</v>
      </c>
      <c r="K454" s="18" t="s">
        <v>83</v>
      </c>
      <c r="L454" s="22">
        <v>94500</v>
      </c>
      <c r="M454" s="23">
        <v>-5339.42</v>
      </c>
      <c r="N454" s="23">
        <v>89160.58</v>
      </c>
      <c r="O454" s="18" t="s">
        <v>22</v>
      </c>
    </row>
    <row r="455" spans="1:15" s="4" customFormat="1" ht="19.25" customHeight="1" x14ac:dyDescent="0.45">
      <c r="A455" s="18" t="s">
        <v>682</v>
      </c>
      <c r="B455" s="18" t="s">
        <v>70</v>
      </c>
      <c r="C455" s="18" t="s">
        <v>71</v>
      </c>
      <c r="D455" s="18" t="s">
        <v>72</v>
      </c>
      <c r="E455" s="18" t="s">
        <v>73</v>
      </c>
      <c r="F455" s="19" t="s">
        <v>683</v>
      </c>
      <c r="G455" s="20">
        <v>45386</v>
      </c>
      <c r="H455" s="20">
        <v>45386</v>
      </c>
      <c r="I455" s="20">
        <v>45386</v>
      </c>
      <c r="J455" s="21">
        <v>1</v>
      </c>
      <c r="K455" s="18" t="s">
        <v>83</v>
      </c>
      <c r="L455" s="22">
        <v>2690</v>
      </c>
      <c r="M455" s="23">
        <v>-151.99</v>
      </c>
      <c r="N455" s="23">
        <v>2538.0100000000002</v>
      </c>
      <c r="O455" s="18" t="s">
        <v>22</v>
      </c>
    </row>
    <row r="456" spans="1:15" s="4" customFormat="1" ht="19.25" customHeight="1" x14ac:dyDescent="0.45">
      <c r="A456" s="18" t="s">
        <v>684</v>
      </c>
      <c r="B456" s="18" t="s">
        <v>70</v>
      </c>
      <c r="C456" s="18" t="s">
        <v>71</v>
      </c>
      <c r="D456" s="18" t="s">
        <v>72</v>
      </c>
      <c r="E456" s="18" t="s">
        <v>73</v>
      </c>
      <c r="F456" s="19" t="s">
        <v>685</v>
      </c>
      <c r="G456" s="20">
        <v>45386</v>
      </c>
      <c r="H456" s="20">
        <v>45386</v>
      </c>
      <c r="I456" s="20">
        <v>45386</v>
      </c>
      <c r="J456" s="21">
        <v>100</v>
      </c>
      <c r="K456" s="18" t="s">
        <v>83</v>
      </c>
      <c r="L456" s="22">
        <v>13000</v>
      </c>
      <c r="M456" s="23">
        <v>-734.52</v>
      </c>
      <c r="N456" s="23">
        <v>12265.48</v>
      </c>
      <c r="O456" s="18" t="s">
        <v>22</v>
      </c>
    </row>
    <row r="457" spans="1:15" s="4" customFormat="1" ht="19.25" customHeight="1" x14ac:dyDescent="0.45">
      <c r="A457" s="18" t="s">
        <v>686</v>
      </c>
      <c r="B457" s="18" t="s">
        <v>70</v>
      </c>
      <c r="C457" s="18" t="s">
        <v>71</v>
      </c>
      <c r="D457" s="18" t="s">
        <v>72</v>
      </c>
      <c r="E457" s="18" t="s">
        <v>73</v>
      </c>
      <c r="F457" s="19" t="s">
        <v>687</v>
      </c>
      <c r="G457" s="20">
        <v>45386</v>
      </c>
      <c r="H457" s="20">
        <v>45386</v>
      </c>
      <c r="I457" s="20">
        <v>45386</v>
      </c>
      <c r="J457" s="21">
        <v>100</v>
      </c>
      <c r="K457" s="18" t="s">
        <v>83</v>
      </c>
      <c r="L457" s="22">
        <v>16000</v>
      </c>
      <c r="M457" s="23">
        <v>-904.03</v>
      </c>
      <c r="N457" s="23">
        <v>15095.97</v>
      </c>
      <c r="O457" s="19" t="s">
        <v>22</v>
      </c>
    </row>
    <row r="458" spans="1:15" s="4" customFormat="1" ht="19.25" customHeight="1" x14ac:dyDescent="0.45">
      <c r="A458" s="18" t="s">
        <v>688</v>
      </c>
      <c r="B458" s="18" t="s">
        <v>70</v>
      </c>
      <c r="C458" s="18" t="s">
        <v>71</v>
      </c>
      <c r="D458" s="18" t="s">
        <v>72</v>
      </c>
      <c r="E458" s="18" t="s">
        <v>73</v>
      </c>
      <c r="F458" s="19" t="s">
        <v>689</v>
      </c>
      <c r="G458" s="20">
        <v>45386</v>
      </c>
      <c r="H458" s="20">
        <v>45386</v>
      </c>
      <c r="I458" s="20">
        <v>45386</v>
      </c>
      <c r="J458" s="21">
        <v>100</v>
      </c>
      <c r="K458" s="18" t="s">
        <v>83</v>
      </c>
      <c r="L458" s="22">
        <v>37000</v>
      </c>
      <c r="M458" s="23">
        <v>-2090.56</v>
      </c>
      <c r="N458" s="23">
        <v>34909.440000000002</v>
      </c>
      <c r="O458" s="19" t="s">
        <v>22</v>
      </c>
    </row>
    <row r="459" spans="1:15" s="4" customFormat="1" ht="19.25" customHeight="1" x14ac:dyDescent="0.45">
      <c r="A459" s="18" t="s">
        <v>690</v>
      </c>
      <c r="B459" s="18" t="s">
        <v>394</v>
      </c>
      <c r="C459" s="18" t="s">
        <v>395</v>
      </c>
      <c r="D459" s="18" t="s">
        <v>396</v>
      </c>
      <c r="E459" s="18" t="s">
        <v>397</v>
      </c>
      <c r="F459" s="19" t="s">
        <v>691</v>
      </c>
      <c r="G459" s="20">
        <v>45386</v>
      </c>
      <c r="H459" s="20">
        <v>45386</v>
      </c>
      <c r="I459" s="20">
        <v>45386</v>
      </c>
      <c r="J459" s="21">
        <v>200</v>
      </c>
      <c r="K459" s="18" t="s">
        <v>83</v>
      </c>
      <c r="L459" s="22">
        <v>480000</v>
      </c>
      <c r="M459" s="23">
        <v>-22622.12</v>
      </c>
      <c r="N459" s="23">
        <v>457377.88</v>
      </c>
      <c r="O459" s="19" t="s">
        <v>22</v>
      </c>
    </row>
    <row r="460" spans="1:15" s="4" customFormat="1" ht="32.35" customHeight="1" x14ac:dyDescent="0.45">
      <c r="A460" s="18" t="s">
        <v>692</v>
      </c>
      <c r="B460" s="18" t="s">
        <v>394</v>
      </c>
      <c r="C460" s="18" t="s">
        <v>395</v>
      </c>
      <c r="D460" s="18" t="s">
        <v>396</v>
      </c>
      <c r="E460" s="18" t="s">
        <v>397</v>
      </c>
      <c r="F460" s="19" t="s">
        <v>693</v>
      </c>
      <c r="G460" s="20">
        <v>45386</v>
      </c>
      <c r="H460" s="20">
        <v>45386</v>
      </c>
      <c r="I460" s="20">
        <v>45386</v>
      </c>
      <c r="J460" s="21">
        <v>300</v>
      </c>
      <c r="K460" s="18" t="s">
        <v>83</v>
      </c>
      <c r="L460" s="22">
        <v>660000</v>
      </c>
      <c r="M460" s="23">
        <v>-31105.42</v>
      </c>
      <c r="N460" s="23">
        <v>628894.57999999996</v>
      </c>
      <c r="O460" s="19" t="s">
        <v>22</v>
      </c>
    </row>
    <row r="461" spans="1:15" s="4" customFormat="1" ht="32.35" customHeight="1" x14ac:dyDescent="0.45">
      <c r="A461" s="18" t="s">
        <v>694</v>
      </c>
      <c r="B461" s="18" t="s">
        <v>394</v>
      </c>
      <c r="C461" s="18" t="s">
        <v>395</v>
      </c>
      <c r="D461" s="18" t="s">
        <v>396</v>
      </c>
      <c r="E461" s="18" t="s">
        <v>397</v>
      </c>
      <c r="F461" s="19" t="s">
        <v>695</v>
      </c>
      <c r="G461" s="20">
        <v>45386</v>
      </c>
      <c r="H461" s="20">
        <v>45386</v>
      </c>
      <c r="I461" s="20">
        <v>45386</v>
      </c>
      <c r="J461" s="21">
        <v>80</v>
      </c>
      <c r="K461" s="18" t="s">
        <v>83</v>
      </c>
      <c r="L461" s="22">
        <v>96000</v>
      </c>
      <c r="M461" s="23">
        <v>-4524.42</v>
      </c>
      <c r="N461" s="23">
        <v>91475.58</v>
      </c>
      <c r="O461" s="18" t="s">
        <v>22</v>
      </c>
    </row>
    <row r="462" spans="1:15" s="4" customFormat="1" ht="32.35" customHeight="1" x14ac:dyDescent="0.45">
      <c r="A462" s="18" t="s">
        <v>696</v>
      </c>
      <c r="B462" s="18" t="s">
        <v>394</v>
      </c>
      <c r="C462" s="18" t="s">
        <v>395</v>
      </c>
      <c r="D462" s="18" t="s">
        <v>396</v>
      </c>
      <c r="E462" s="18" t="s">
        <v>397</v>
      </c>
      <c r="F462" s="19" t="s">
        <v>697</v>
      </c>
      <c r="G462" s="20">
        <v>45386</v>
      </c>
      <c r="H462" s="20">
        <v>45386</v>
      </c>
      <c r="I462" s="20">
        <v>45386</v>
      </c>
      <c r="J462" s="21">
        <v>33</v>
      </c>
      <c r="K462" s="18" t="s">
        <v>83</v>
      </c>
      <c r="L462" s="22">
        <v>20625</v>
      </c>
      <c r="M462" s="23">
        <v>-972.04</v>
      </c>
      <c r="N462" s="23">
        <v>19652.96</v>
      </c>
      <c r="O462" s="18" t="s">
        <v>22</v>
      </c>
    </row>
    <row r="463" spans="1:15" s="4" customFormat="1" ht="19.25" customHeight="1" x14ac:dyDescent="0.45">
      <c r="A463" s="18" t="s">
        <v>698</v>
      </c>
      <c r="B463" s="18" t="s">
        <v>394</v>
      </c>
      <c r="C463" s="18" t="s">
        <v>395</v>
      </c>
      <c r="D463" s="18" t="s">
        <v>396</v>
      </c>
      <c r="E463" s="18" t="s">
        <v>397</v>
      </c>
      <c r="F463" s="19" t="s">
        <v>699</v>
      </c>
      <c r="G463" s="20">
        <v>45386</v>
      </c>
      <c r="H463" s="20">
        <v>45386</v>
      </c>
      <c r="I463" s="20">
        <v>45386</v>
      </c>
      <c r="J463" s="21">
        <v>125</v>
      </c>
      <c r="K463" s="18" t="s">
        <v>83</v>
      </c>
      <c r="L463" s="22">
        <v>157500</v>
      </c>
      <c r="M463" s="23">
        <v>-7422.88</v>
      </c>
      <c r="N463" s="23">
        <v>150077.12</v>
      </c>
      <c r="O463" s="19" t="s">
        <v>22</v>
      </c>
    </row>
    <row r="464" spans="1:15" s="4" customFormat="1" ht="19.25" customHeight="1" x14ac:dyDescent="0.45">
      <c r="A464" s="18" t="s">
        <v>700</v>
      </c>
      <c r="B464" s="18" t="s">
        <v>394</v>
      </c>
      <c r="C464" s="18" t="s">
        <v>395</v>
      </c>
      <c r="D464" s="18" t="s">
        <v>396</v>
      </c>
      <c r="E464" s="18" t="s">
        <v>397</v>
      </c>
      <c r="F464" s="19" t="s">
        <v>701</v>
      </c>
      <c r="G464" s="20">
        <v>45386</v>
      </c>
      <c r="H464" s="20">
        <v>45386</v>
      </c>
      <c r="I464" s="20">
        <v>45386</v>
      </c>
      <c r="J464" s="21">
        <v>10</v>
      </c>
      <c r="K464" s="18" t="s">
        <v>83</v>
      </c>
      <c r="L464" s="22">
        <v>10600</v>
      </c>
      <c r="M464" s="23">
        <v>-499.57</v>
      </c>
      <c r="N464" s="23">
        <v>10100.43</v>
      </c>
      <c r="O464" s="19" t="s">
        <v>22</v>
      </c>
    </row>
    <row r="465" spans="1:15" s="4" customFormat="1" ht="19.25" customHeight="1" x14ac:dyDescent="0.45">
      <c r="A465" s="18" t="s">
        <v>702</v>
      </c>
      <c r="B465" s="18" t="s">
        <v>394</v>
      </c>
      <c r="C465" s="18" t="s">
        <v>395</v>
      </c>
      <c r="D465" s="18" t="s">
        <v>396</v>
      </c>
      <c r="E465" s="18" t="s">
        <v>397</v>
      </c>
      <c r="F465" s="19" t="s">
        <v>703</v>
      </c>
      <c r="G465" s="20">
        <v>45386</v>
      </c>
      <c r="H465" s="20">
        <v>45386</v>
      </c>
      <c r="I465" s="20">
        <v>45386</v>
      </c>
      <c r="J465" s="21">
        <v>325</v>
      </c>
      <c r="K465" s="18" t="s">
        <v>83</v>
      </c>
      <c r="L465" s="22">
        <v>281125</v>
      </c>
      <c r="M465" s="23">
        <v>-13249.26</v>
      </c>
      <c r="N465" s="23">
        <v>267875.74</v>
      </c>
      <c r="O465" s="19" t="s">
        <v>22</v>
      </c>
    </row>
    <row r="466" spans="1:15" s="4" customFormat="1" ht="30.4" customHeight="1" x14ac:dyDescent="0.45">
      <c r="A466" s="18" t="s">
        <v>704</v>
      </c>
      <c r="B466" s="18" t="s">
        <v>78</v>
      </c>
      <c r="C466" s="18" t="s">
        <v>79</v>
      </c>
      <c r="D466" s="18" t="s">
        <v>80</v>
      </c>
      <c r="E466" s="18" t="s">
        <v>81</v>
      </c>
      <c r="F466" s="19" t="s">
        <v>705</v>
      </c>
      <c r="G466" s="20">
        <v>45386</v>
      </c>
      <c r="H466" s="20">
        <v>45386</v>
      </c>
      <c r="I466" s="20">
        <v>45386</v>
      </c>
      <c r="J466" s="21">
        <v>5</v>
      </c>
      <c r="K466" s="18" t="s">
        <v>83</v>
      </c>
      <c r="L466" s="22">
        <v>112500</v>
      </c>
      <c r="M466" s="23">
        <v>-5302.06</v>
      </c>
      <c r="N466" s="23">
        <v>107197.94</v>
      </c>
      <c r="O466" s="19" t="s">
        <v>102</v>
      </c>
    </row>
    <row r="467" spans="1:15" s="4" customFormat="1" ht="19.25" customHeight="1" x14ac:dyDescent="0.45">
      <c r="A467" s="18" t="s">
        <v>706</v>
      </c>
      <c r="B467" s="18" t="s">
        <v>78</v>
      </c>
      <c r="C467" s="18" t="s">
        <v>79</v>
      </c>
      <c r="D467" s="18" t="s">
        <v>80</v>
      </c>
      <c r="E467" s="18" t="s">
        <v>81</v>
      </c>
      <c r="F467" s="19" t="s">
        <v>707</v>
      </c>
      <c r="G467" s="20">
        <v>45386</v>
      </c>
      <c r="H467" s="20">
        <v>45386</v>
      </c>
      <c r="I467" s="20">
        <v>45386</v>
      </c>
      <c r="J467" s="21">
        <v>435</v>
      </c>
      <c r="K467" s="18" t="s">
        <v>83</v>
      </c>
      <c r="L467" s="22">
        <v>134850</v>
      </c>
      <c r="M467" s="23">
        <v>-6355.4</v>
      </c>
      <c r="N467" s="23">
        <v>128494.6</v>
      </c>
      <c r="O467" s="19" t="s">
        <v>22</v>
      </c>
    </row>
    <row r="468" spans="1:15" s="4" customFormat="1" ht="19.25" customHeight="1" x14ac:dyDescent="0.45">
      <c r="A468" s="18" t="s">
        <v>708</v>
      </c>
      <c r="B468" s="18" t="s">
        <v>78</v>
      </c>
      <c r="C468" s="18" t="s">
        <v>79</v>
      </c>
      <c r="D468" s="18" t="s">
        <v>80</v>
      </c>
      <c r="E468" s="18" t="s">
        <v>81</v>
      </c>
      <c r="F468" s="19" t="s">
        <v>709</v>
      </c>
      <c r="G468" s="20">
        <v>45386</v>
      </c>
      <c r="H468" s="20">
        <v>45386</v>
      </c>
      <c r="I468" s="20">
        <v>45386</v>
      </c>
      <c r="J468" s="21">
        <v>20</v>
      </c>
      <c r="K468" s="18" t="s">
        <v>83</v>
      </c>
      <c r="L468" s="22">
        <v>1600</v>
      </c>
      <c r="M468" s="23">
        <v>-75.41</v>
      </c>
      <c r="N468" s="23">
        <v>1524.59</v>
      </c>
      <c r="O468" s="19" t="s">
        <v>22</v>
      </c>
    </row>
    <row r="469" spans="1:15" s="4" customFormat="1" ht="19.25" customHeight="1" x14ac:dyDescent="0.45">
      <c r="A469" s="18" t="s">
        <v>710</v>
      </c>
      <c r="B469" s="18" t="s">
        <v>78</v>
      </c>
      <c r="C469" s="18" t="s">
        <v>79</v>
      </c>
      <c r="D469" s="18" t="s">
        <v>80</v>
      </c>
      <c r="E469" s="18" t="s">
        <v>81</v>
      </c>
      <c r="F469" s="19" t="s">
        <v>711</v>
      </c>
      <c r="G469" s="20">
        <v>45386</v>
      </c>
      <c r="H469" s="20">
        <v>45386</v>
      </c>
      <c r="I469" s="20">
        <v>45386</v>
      </c>
      <c r="J469" s="21">
        <v>40</v>
      </c>
      <c r="K469" s="18" t="s">
        <v>83</v>
      </c>
      <c r="L469" s="22">
        <v>2400</v>
      </c>
      <c r="M469" s="23">
        <v>-113.11</v>
      </c>
      <c r="N469" s="23">
        <v>2286.89</v>
      </c>
      <c r="O469" s="19" t="s">
        <v>22</v>
      </c>
    </row>
    <row r="470" spans="1:15" s="4" customFormat="1" ht="19.25" customHeight="1" x14ac:dyDescent="0.45">
      <c r="A470" s="18" t="s">
        <v>712</v>
      </c>
      <c r="B470" s="18" t="s">
        <v>394</v>
      </c>
      <c r="C470" s="18" t="s">
        <v>395</v>
      </c>
      <c r="D470" s="18" t="s">
        <v>396</v>
      </c>
      <c r="E470" s="18" t="s">
        <v>397</v>
      </c>
      <c r="F470" s="19" t="s">
        <v>713</v>
      </c>
      <c r="G470" s="20">
        <v>45386</v>
      </c>
      <c r="H470" s="20">
        <v>45386</v>
      </c>
      <c r="I470" s="20">
        <v>45386</v>
      </c>
      <c r="J470" s="21">
        <v>2</v>
      </c>
      <c r="K470" s="18" t="s">
        <v>83</v>
      </c>
      <c r="L470" s="22">
        <v>1590000</v>
      </c>
      <c r="M470" s="23">
        <v>-74935.789999999994</v>
      </c>
      <c r="N470" s="23">
        <v>1515064.21</v>
      </c>
      <c r="O470" s="18" t="s">
        <v>22</v>
      </c>
    </row>
    <row r="471" spans="1:15" s="4" customFormat="1" ht="19.25" customHeight="1" x14ac:dyDescent="0.45">
      <c r="A471" s="18" t="s">
        <v>714</v>
      </c>
      <c r="B471" s="18" t="s">
        <v>394</v>
      </c>
      <c r="C471" s="18" t="s">
        <v>395</v>
      </c>
      <c r="D471" s="18" t="s">
        <v>396</v>
      </c>
      <c r="E471" s="18" t="s">
        <v>397</v>
      </c>
      <c r="F471" s="19" t="s">
        <v>715</v>
      </c>
      <c r="G471" s="20">
        <v>45386</v>
      </c>
      <c r="H471" s="20">
        <v>45386</v>
      </c>
      <c r="I471" s="20">
        <v>45386</v>
      </c>
      <c r="J471" s="21">
        <v>2</v>
      </c>
      <c r="K471" s="18" t="s">
        <v>83</v>
      </c>
      <c r="L471" s="22">
        <v>990000</v>
      </c>
      <c r="M471" s="23">
        <v>-46658.13</v>
      </c>
      <c r="N471" s="23">
        <v>943341.87</v>
      </c>
      <c r="O471" s="18" t="s">
        <v>22</v>
      </c>
    </row>
    <row r="472" spans="1:15" s="4" customFormat="1" ht="19.25" customHeight="1" x14ac:dyDescent="0.45">
      <c r="A472" s="18" t="s">
        <v>716</v>
      </c>
      <c r="B472" s="18" t="s">
        <v>394</v>
      </c>
      <c r="C472" s="18" t="s">
        <v>395</v>
      </c>
      <c r="D472" s="18" t="s">
        <v>396</v>
      </c>
      <c r="E472" s="18" t="s">
        <v>397</v>
      </c>
      <c r="F472" s="19" t="s">
        <v>717</v>
      </c>
      <c r="G472" s="20">
        <v>45386</v>
      </c>
      <c r="H472" s="20">
        <v>45386</v>
      </c>
      <c r="I472" s="20">
        <v>45386</v>
      </c>
      <c r="J472" s="21">
        <v>1</v>
      </c>
      <c r="K472" s="18" t="s">
        <v>83</v>
      </c>
      <c r="L472" s="22">
        <v>1090000</v>
      </c>
      <c r="M472" s="23">
        <v>-51371.07</v>
      </c>
      <c r="N472" s="23">
        <v>1038628.93</v>
      </c>
      <c r="O472" s="18" t="s">
        <v>22</v>
      </c>
    </row>
    <row r="473" spans="1:15" s="4" customFormat="1" ht="19.25" customHeight="1" x14ac:dyDescent="0.45">
      <c r="A473" s="18" t="s">
        <v>718</v>
      </c>
      <c r="B473" s="18" t="s">
        <v>394</v>
      </c>
      <c r="C473" s="18" t="s">
        <v>395</v>
      </c>
      <c r="D473" s="18" t="s">
        <v>396</v>
      </c>
      <c r="E473" s="18" t="s">
        <v>397</v>
      </c>
      <c r="F473" s="19" t="s">
        <v>719</v>
      </c>
      <c r="G473" s="20">
        <v>45386</v>
      </c>
      <c r="H473" s="20">
        <v>45386</v>
      </c>
      <c r="I473" s="20">
        <v>45386</v>
      </c>
      <c r="J473" s="21">
        <v>165</v>
      </c>
      <c r="K473" s="18" t="s">
        <v>83</v>
      </c>
      <c r="L473" s="22">
        <v>221100</v>
      </c>
      <c r="M473" s="23">
        <v>-10420.32</v>
      </c>
      <c r="N473" s="23">
        <v>210679.67999999999</v>
      </c>
      <c r="O473" s="19" t="s">
        <v>22</v>
      </c>
    </row>
    <row r="474" spans="1:15" s="4" customFormat="1" ht="19.25" customHeight="1" x14ac:dyDescent="0.45">
      <c r="A474" s="18" t="s">
        <v>720</v>
      </c>
      <c r="B474" s="18" t="s">
        <v>394</v>
      </c>
      <c r="C474" s="18" t="s">
        <v>395</v>
      </c>
      <c r="D474" s="18" t="s">
        <v>396</v>
      </c>
      <c r="E474" s="18" t="s">
        <v>397</v>
      </c>
      <c r="F474" s="19" t="s">
        <v>721</v>
      </c>
      <c r="G474" s="20">
        <v>45386</v>
      </c>
      <c r="H474" s="20">
        <v>45386</v>
      </c>
      <c r="I474" s="20">
        <v>45386</v>
      </c>
      <c r="J474" s="21">
        <v>350</v>
      </c>
      <c r="K474" s="18" t="s">
        <v>83</v>
      </c>
      <c r="L474" s="22">
        <v>159250</v>
      </c>
      <c r="M474" s="23">
        <v>-7505.36</v>
      </c>
      <c r="N474" s="23">
        <v>151744.64000000001</v>
      </c>
      <c r="O474" s="19" t="s">
        <v>22</v>
      </c>
    </row>
    <row r="475" spans="1:15" s="4" customFormat="1" ht="19.25" customHeight="1" x14ac:dyDescent="0.45">
      <c r="A475" s="18" t="s">
        <v>722</v>
      </c>
      <c r="B475" s="18" t="s">
        <v>394</v>
      </c>
      <c r="C475" s="18" t="s">
        <v>395</v>
      </c>
      <c r="D475" s="18" t="s">
        <v>396</v>
      </c>
      <c r="E475" s="18" t="s">
        <v>397</v>
      </c>
      <c r="F475" s="19" t="s">
        <v>723</v>
      </c>
      <c r="G475" s="20">
        <v>45386</v>
      </c>
      <c r="H475" s="20">
        <v>45386</v>
      </c>
      <c r="I475" s="20">
        <v>45386</v>
      </c>
      <c r="J475" s="21">
        <v>200</v>
      </c>
      <c r="K475" s="18" t="s">
        <v>83</v>
      </c>
      <c r="L475" s="22">
        <v>74000</v>
      </c>
      <c r="M475" s="23">
        <v>-3487.58</v>
      </c>
      <c r="N475" s="23">
        <v>70512.42</v>
      </c>
      <c r="O475" s="19" t="s">
        <v>22</v>
      </c>
    </row>
    <row r="476" spans="1:15" s="4" customFormat="1" ht="19.25" customHeight="1" x14ac:dyDescent="0.45">
      <c r="A476" s="18" t="s">
        <v>724</v>
      </c>
      <c r="B476" s="18" t="s">
        <v>394</v>
      </c>
      <c r="C476" s="18" t="s">
        <v>395</v>
      </c>
      <c r="D476" s="18" t="s">
        <v>396</v>
      </c>
      <c r="E476" s="18" t="s">
        <v>397</v>
      </c>
      <c r="F476" s="19" t="s">
        <v>725</v>
      </c>
      <c r="G476" s="20">
        <v>45386</v>
      </c>
      <c r="H476" s="20">
        <v>45386</v>
      </c>
      <c r="I476" s="20">
        <v>45386</v>
      </c>
      <c r="J476" s="21">
        <v>500</v>
      </c>
      <c r="K476" s="18" t="s">
        <v>83</v>
      </c>
      <c r="L476" s="22">
        <v>360000</v>
      </c>
      <c r="M476" s="23">
        <v>-16966.59</v>
      </c>
      <c r="N476" s="23">
        <v>343033.41</v>
      </c>
      <c r="O476" s="19" t="s">
        <v>22</v>
      </c>
    </row>
    <row r="477" spans="1:15" s="4" customFormat="1" ht="19.25" customHeight="1" x14ac:dyDescent="0.45">
      <c r="A477" s="18" t="s">
        <v>726</v>
      </c>
      <c r="B477" s="18" t="s">
        <v>394</v>
      </c>
      <c r="C477" s="18" t="s">
        <v>395</v>
      </c>
      <c r="D477" s="18" t="s">
        <v>396</v>
      </c>
      <c r="E477" s="18" t="s">
        <v>397</v>
      </c>
      <c r="F477" s="19" t="s">
        <v>727</v>
      </c>
      <c r="G477" s="20">
        <v>45386</v>
      </c>
      <c r="H477" s="20">
        <v>45386</v>
      </c>
      <c r="I477" s="20">
        <v>45386</v>
      </c>
      <c r="J477" s="21">
        <v>300</v>
      </c>
      <c r="K477" s="18" t="s">
        <v>83</v>
      </c>
      <c r="L477" s="22">
        <v>147000</v>
      </c>
      <c r="M477" s="23">
        <v>-6928.03</v>
      </c>
      <c r="N477" s="23">
        <v>140071.97</v>
      </c>
      <c r="O477" s="19" t="s">
        <v>22</v>
      </c>
    </row>
    <row r="478" spans="1:15" s="4" customFormat="1" ht="19.25" customHeight="1" x14ac:dyDescent="0.45">
      <c r="A478" s="18" t="s">
        <v>728</v>
      </c>
      <c r="B478" s="18" t="s">
        <v>394</v>
      </c>
      <c r="C478" s="18" t="s">
        <v>395</v>
      </c>
      <c r="D478" s="18" t="s">
        <v>396</v>
      </c>
      <c r="E478" s="18" t="s">
        <v>397</v>
      </c>
      <c r="F478" s="19" t="s">
        <v>729</v>
      </c>
      <c r="G478" s="20">
        <v>45386</v>
      </c>
      <c r="H478" s="20">
        <v>45386</v>
      </c>
      <c r="I478" s="20">
        <v>45386</v>
      </c>
      <c r="J478" s="21">
        <v>100</v>
      </c>
      <c r="K478" s="18" t="s">
        <v>83</v>
      </c>
      <c r="L478" s="22">
        <v>30500</v>
      </c>
      <c r="M478" s="23">
        <v>-1437.45</v>
      </c>
      <c r="N478" s="23">
        <v>29062.55</v>
      </c>
      <c r="O478" s="19" t="s">
        <v>22</v>
      </c>
    </row>
    <row r="479" spans="1:15" s="4" customFormat="1" ht="19.25" customHeight="1" x14ac:dyDescent="0.45">
      <c r="A479" s="18" t="s">
        <v>730</v>
      </c>
      <c r="B479" s="18" t="s">
        <v>394</v>
      </c>
      <c r="C479" s="18" t="s">
        <v>395</v>
      </c>
      <c r="D479" s="18" t="s">
        <v>396</v>
      </c>
      <c r="E479" s="18" t="s">
        <v>397</v>
      </c>
      <c r="F479" s="19" t="s">
        <v>731</v>
      </c>
      <c r="G479" s="20">
        <v>45386</v>
      </c>
      <c r="H479" s="20">
        <v>45386</v>
      </c>
      <c r="I479" s="20">
        <v>45386</v>
      </c>
      <c r="J479" s="21">
        <v>600</v>
      </c>
      <c r="K479" s="18" t="s">
        <v>83</v>
      </c>
      <c r="L479" s="22">
        <v>129000</v>
      </c>
      <c r="M479" s="23">
        <v>-6079.7</v>
      </c>
      <c r="N479" s="23">
        <v>122920.3</v>
      </c>
      <c r="O479" s="19" t="s">
        <v>22</v>
      </c>
    </row>
    <row r="480" spans="1:15" s="4" customFormat="1" ht="19.25" customHeight="1" x14ac:dyDescent="0.45">
      <c r="A480" s="18" t="s">
        <v>732</v>
      </c>
      <c r="B480" s="18" t="s">
        <v>394</v>
      </c>
      <c r="C480" s="18" t="s">
        <v>395</v>
      </c>
      <c r="D480" s="18" t="s">
        <v>396</v>
      </c>
      <c r="E480" s="18" t="s">
        <v>397</v>
      </c>
      <c r="F480" s="19" t="s">
        <v>733</v>
      </c>
      <c r="G480" s="20">
        <v>45386</v>
      </c>
      <c r="H480" s="20">
        <v>45386</v>
      </c>
      <c r="I480" s="20">
        <v>45386</v>
      </c>
      <c r="J480" s="21">
        <v>150</v>
      </c>
      <c r="K480" s="18" t="s">
        <v>83</v>
      </c>
      <c r="L480" s="22">
        <v>10500</v>
      </c>
      <c r="M480" s="23">
        <v>-494.86</v>
      </c>
      <c r="N480" s="23">
        <v>10005.14</v>
      </c>
      <c r="O480" s="19" t="s">
        <v>22</v>
      </c>
    </row>
    <row r="481" spans="1:15" s="4" customFormat="1" ht="19.25" customHeight="1" x14ac:dyDescent="0.45">
      <c r="A481" s="18" t="s">
        <v>734</v>
      </c>
      <c r="B481" s="18" t="s">
        <v>394</v>
      </c>
      <c r="C481" s="18" t="s">
        <v>395</v>
      </c>
      <c r="D481" s="18" t="s">
        <v>396</v>
      </c>
      <c r="E481" s="18" t="s">
        <v>397</v>
      </c>
      <c r="F481" s="19" t="s">
        <v>735</v>
      </c>
      <c r="G481" s="20">
        <v>45386</v>
      </c>
      <c r="H481" s="20">
        <v>45386</v>
      </c>
      <c r="I481" s="20">
        <v>45386</v>
      </c>
      <c r="J481" s="21">
        <v>750</v>
      </c>
      <c r="K481" s="18" t="s">
        <v>83</v>
      </c>
      <c r="L481" s="22">
        <v>90000</v>
      </c>
      <c r="M481" s="23">
        <v>-4241.6499999999996</v>
      </c>
      <c r="N481" s="23">
        <v>85758.35</v>
      </c>
      <c r="O481" s="19" t="s">
        <v>22</v>
      </c>
    </row>
    <row r="482" spans="1:15" s="4" customFormat="1" ht="19.25" customHeight="1" x14ac:dyDescent="0.45">
      <c r="A482" s="18" t="s">
        <v>736</v>
      </c>
      <c r="B482" s="18" t="s">
        <v>394</v>
      </c>
      <c r="C482" s="18" t="s">
        <v>395</v>
      </c>
      <c r="D482" s="18" t="s">
        <v>396</v>
      </c>
      <c r="E482" s="18" t="s">
        <v>397</v>
      </c>
      <c r="F482" s="19" t="s">
        <v>737</v>
      </c>
      <c r="G482" s="20">
        <v>45386</v>
      </c>
      <c r="H482" s="20">
        <v>45386</v>
      </c>
      <c r="I482" s="20">
        <v>45386</v>
      </c>
      <c r="J482" s="21">
        <v>4</v>
      </c>
      <c r="K482" s="18" t="s">
        <v>83</v>
      </c>
      <c r="L482" s="22">
        <v>7620</v>
      </c>
      <c r="M482" s="23">
        <v>-359.13</v>
      </c>
      <c r="N482" s="23">
        <v>7260.87</v>
      </c>
      <c r="O482" s="19" t="s">
        <v>22</v>
      </c>
    </row>
    <row r="483" spans="1:15" s="4" customFormat="1" ht="19.25" customHeight="1" x14ac:dyDescent="0.45">
      <c r="A483" s="18" t="s">
        <v>738</v>
      </c>
      <c r="B483" s="18" t="s">
        <v>394</v>
      </c>
      <c r="C483" s="18" t="s">
        <v>395</v>
      </c>
      <c r="D483" s="18" t="s">
        <v>396</v>
      </c>
      <c r="E483" s="18" t="s">
        <v>397</v>
      </c>
      <c r="F483" s="19" t="s">
        <v>739</v>
      </c>
      <c r="G483" s="20">
        <v>45386</v>
      </c>
      <c r="H483" s="20">
        <v>45386</v>
      </c>
      <c r="I483" s="20">
        <v>45386</v>
      </c>
      <c r="J483" s="21">
        <v>4</v>
      </c>
      <c r="K483" s="18" t="s">
        <v>83</v>
      </c>
      <c r="L483" s="22">
        <v>2360</v>
      </c>
      <c r="M483" s="23">
        <v>-111.23</v>
      </c>
      <c r="N483" s="23">
        <v>2248.77</v>
      </c>
      <c r="O483" s="19" t="s">
        <v>22</v>
      </c>
    </row>
    <row r="484" spans="1:15" s="4" customFormat="1" ht="19.25" customHeight="1" x14ac:dyDescent="0.45">
      <c r="A484" s="18" t="s">
        <v>740</v>
      </c>
      <c r="B484" s="18" t="s">
        <v>394</v>
      </c>
      <c r="C484" s="18" t="s">
        <v>395</v>
      </c>
      <c r="D484" s="18" t="s">
        <v>396</v>
      </c>
      <c r="E484" s="18" t="s">
        <v>397</v>
      </c>
      <c r="F484" s="19" t="s">
        <v>741</v>
      </c>
      <c r="G484" s="20">
        <v>45386</v>
      </c>
      <c r="H484" s="20">
        <v>45386</v>
      </c>
      <c r="I484" s="20">
        <v>45386</v>
      </c>
      <c r="J484" s="21">
        <v>4</v>
      </c>
      <c r="K484" s="18" t="s">
        <v>83</v>
      </c>
      <c r="L484" s="22">
        <v>1740</v>
      </c>
      <c r="M484" s="23">
        <v>-82.01</v>
      </c>
      <c r="N484" s="23">
        <v>1657.99</v>
      </c>
      <c r="O484" s="19" t="s">
        <v>22</v>
      </c>
    </row>
    <row r="485" spans="1:15" s="4" customFormat="1" ht="19.25" customHeight="1" x14ac:dyDescent="0.45">
      <c r="A485" s="18" t="s">
        <v>742</v>
      </c>
      <c r="B485" s="18" t="s">
        <v>394</v>
      </c>
      <c r="C485" s="18" t="s">
        <v>395</v>
      </c>
      <c r="D485" s="18" t="s">
        <v>396</v>
      </c>
      <c r="E485" s="18" t="s">
        <v>397</v>
      </c>
      <c r="F485" s="19" t="s">
        <v>743</v>
      </c>
      <c r="G485" s="20">
        <v>45386</v>
      </c>
      <c r="H485" s="20">
        <v>45386</v>
      </c>
      <c r="I485" s="20">
        <v>45386</v>
      </c>
      <c r="J485" s="21">
        <v>12</v>
      </c>
      <c r="K485" s="18" t="s">
        <v>83</v>
      </c>
      <c r="L485" s="22">
        <v>4860</v>
      </c>
      <c r="M485" s="23">
        <v>-229.05</v>
      </c>
      <c r="N485" s="23">
        <v>4630.95</v>
      </c>
      <c r="O485" s="19" t="s">
        <v>22</v>
      </c>
    </row>
    <row r="486" spans="1:15" s="4" customFormat="1" ht="19.25" customHeight="1" x14ac:dyDescent="0.45">
      <c r="A486" s="18" t="s">
        <v>744</v>
      </c>
      <c r="B486" s="18" t="s">
        <v>394</v>
      </c>
      <c r="C486" s="18" t="s">
        <v>395</v>
      </c>
      <c r="D486" s="18" t="s">
        <v>396</v>
      </c>
      <c r="E486" s="18" t="s">
        <v>397</v>
      </c>
      <c r="F486" s="19" t="s">
        <v>727</v>
      </c>
      <c r="G486" s="20">
        <v>45386</v>
      </c>
      <c r="H486" s="20">
        <v>45386</v>
      </c>
      <c r="I486" s="20">
        <v>45386</v>
      </c>
      <c r="J486" s="21">
        <v>16</v>
      </c>
      <c r="K486" s="18" t="s">
        <v>83</v>
      </c>
      <c r="L486" s="22">
        <v>4160</v>
      </c>
      <c r="M486" s="23">
        <v>-196.06</v>
      </c>
      <c r="N486" s="23">
        <v>3963.94</v>
      </c>
      <c r="O486" s="19" t="s">
        <v>22</v>
      </c>
    </row>
    <row r="487" spans="1:15" s="4" customFormat="1" ht="19.25" customHeight="1" x14ac:dyDescent="0.45">
      <c r="A487" s="18" t="s">
        <v>745</v>
      </c>
      <c r="B487" s="18" t="s">
        <v>394</v>
      </c>
      <c r="C487" s="18" t="s">
        <v>395</v>
      </c>
      <c r="D487" s="18" t="s">
        <v>396</v>
      </c>
      <c r="E487" s="18" t="s">
        <v>397</v>
      </c>
      <c r="F487" s="19" t="s">
        <v>746</v>
      </c>
      <c r="G487" s="20">
        <v>45386</v>
      </c>
      <c r="H487" s="20">
        <v>45386</v>
      </c>
      <c r="I487" s="20">
        <v>45386</v>
      </c>
      <c r="J487" s="21">
        <v>20</v>
      </c>
      <c r="K487" s="18" t="s">
        <v>83</v>
      </c>
      <c r="L487" s="22">
        <v>3900</v>
      </c>
      <c r="M487" s="23">
        <v>-183.8</v>
      </c>
      <c r="N487" s="23">
        <v>3716.2</v>
      </c>
      <c r="O487" s="19" t="s">
        <v>22</v>
      </c>
    </row>
    <row r="488" spans="1:15" s="4" customFormat="1" ht="28.5" customHeight="1" x14ac:dyDescent="0.45">
      <c r="A488" s="18" t="s">
        <v>747</v>
      </c>
      <c r="B488" s="18" t="s">
        <v>70</v>
      </c>
      <c r="C488" s="18" t="s">
        <v>71</v>
      </c>
      <c r="D488" s="18" t="s">
        <v>72</v>
      </c>
      <c r="E488" s="18" t="s">
        <v>73</v>
      </c>
      <c r="F488" s="19" t="s">
        <v>748</v>
      </c>
      <c r="G488" s="20">
        <v>45386</v>
      </c>
      <c r="H488" s="20">
        <v>45386</v>
      </c>
      <c r="I488" s="20">
        <v>45386</v>
      </c>
      <c r="J488" s="21">
        <v>35</v>
      </c>
      <c r="K488" s="18" t="s">
        <v>83</v>
      </c>
      <c r="L488" s="22">
        <v>1225</v>
      </c>
      <c r="M488" s="23">
        <v>-69.209999999999994</v>
      </c>
      <c r="N488" s="23">
        <v>1155.79</v>
      </c>
      <c r="O488" s="18" t="s">
        <v>22</v>
      </c>
    </row>
    <row r="489" spans="1:15" s="4" customFormat="1" ht="19.25" customHeight="1" x14ac:dyDescent="0.45">
      <c r="A489" s="18" t="s">
        <v>749</v>
      </c>
      <c r="B489" s="18" t="s">
        <v>70</v>
      </c>
      <c r="C489" s="18" t="s">
        <v>71</v>
      </c>
      <c r="D489" s="18" t="s">
        <v>72</v>
      </c>
      <c r="E489" s="18" t="s">
        <v>73</v>
      </c>
      <c r="F489" s="19" t="s">
        <v>750</v>
      </c>
      <c r="G489" s="20">
        <v>45386</v>
      </c>
      <c r="H489" s="20">
        <v>45386</v>
      </c>
      <c r="I489" s="20">
        <v>45386</v>
      </c>
      <c r="J489" s="21">
        <v>5</v>
      </c>
      <c r="K489" s="18" t="s">
        <v>83</v>
      </c>
      <c r="L489" s="22">
        <v>44450</v>
      </c>
      <c r="M489" s="23">
        <v>-2511.5</v>
      </c>
      <c r="N489" s="23">
        <v>41938.5</v>
      </c>
      <c r="O489" s="19" t="s">
        <v>22</v>
      </c>
    </row>
    <row r="490" spans="1:15" s="4" customFormat="1" ht="19.25" customHeight="1" x14ac:dyDescent="0.45">
      <c r="A490" s="18" t="s">
        <v>751</v>
      </c>
      <c r="B490" s="18" t="s">
        <v>70</v>
      </c>
      <c r="C490" s="18" t="s">
        <v>71</v>
      </c>
      <c r="D490" s="18" t="s">
        <v>72</v>
      </c>
      <c r="E490" s="18" t="s">
        <v>73</v>
      </c>
      <c r="F490" s="19" t="s">
        <v>752</v>
      </c>
      <c r="G490" s="20">
        <v>45386</v>
      </c>
      <c r="H490" s="20">
        <v>45386</v>
      </c>
      <c r="I490" s="20">
        <v>45386</v>
      </c>
      <c r="J490" s="21">
        <v>142</v>
      </c>
      <c r="K490" s="18" t="s">
        <v>83</v>
      </c>
      <c r="L490" s="22">
        <v>857680</v>
      </c>
      <c r="M490" s="23">
        <v>-48460.42</v>
      </c>
      <c r="N490" s="23">
        <v>809219.58</v>
      </c>
      <c r="O490" s="18" t="s">
        <v>22</v>
      </c>
    </row>
    <row r="491" spans="1:15" s="4" customFormat="1" ht="19.25" customHeight="1" x14ac:dyDescent="0.45">
      <c r="A491" s="18" t="s">
        <v>753</v>
      </c>
      <c r="B491" s="18" t="s">
        <v>70</v>
      </c>
      <c r="C491" s="18" t="s">
        <v>71</v>
      </c>
      <c r="D491" s="18" t="s">
        <v>72</v>
      </c>
      <c r="E491" s="18" t="s">
        <v>73</v>
      </c>
      <c r="F491" s="19" t="s">
        <v>754</v>
      </c>
      <c r="G491" s="20">
        <v>45386</v>
      </c>
      <c r="H491" s="20">
        <v>45386</v>
      </c>
      <c r="I491" s="20">
        <v>45386</v>
      </c>
      <c r="J491" s="21">
        <v>4</v>
      </c>
      <c r="K491" s="18" t="s">
        <v>83</v>
      </c>
      <c r="L491" s="22">
        <v>15000</v>
      </c>
      <c r="M491" s="23">
        <v>-847.53</v>
      </c>
      <c r="N491" s="23">
        <v>14152.47</v>
      </c>
      <c r="O491" s="18" t="s">
        <v>22</v>
      </c>
    </row>
    <row r="492" spans="1:15" s="4" customFormat="1" ht="19.25" customHeight="1" x14ac:dyDescent="0.45">
      <c r="A492" s="18" t="s">
        <v>755</v>
      </c>
      <c r="B492" s="18" t="s">
        <v>70</v>
      </c>
      <c r="C492" s="18" t="s">
        <v>71</v>
      </c>
      <c r="D492" s="18" t="s">
        <v>72</v>
      </c>
      <c r="E492" s="18" t="s">
        <v>73</v>
      </c>
      <c r="F492" s="19" t="s">
        <v>756</v>
      </c>
      <c r="G492" s="20">
        <v>45386</v>
      </c>
      <c r="H492" s="20">
        <v>45386</v>
      </c>
      <c r="I492" s="20">
        <v>45386</v>
      </c>
      <c r="J492" s="21">
        <v>40</v>
      </c>
      <c r="K492" s="18" t="s">
        <v>83</v>
      </c>
      <c r="L492" s="22">
        <v>92600</v>
      </c>
      <c r="M492" s="23">
        <v>-5232.0600000000004</v>
      </c>
      <c r="N492" s="23">
        <v>87367.94</v>
      </c>
      <c r="O492" s="18" t="s">
        <v>22</v>
      </c>
    </row>
    <row r="493" spans="1:15" s="4" customFormat="1" ht="19.25" customHeight="1" x14ac:dyDescent="0.45">
      <c r="A493" s="18" t="s">
        <v>757</v>
      </c>
      <c r="B493" s="18" t="s">
        <v>78</v>
      </c>
      <c r="C493" s="18" t="s">
        <v>79</v>
      </c>
      <c r="D493" s="18" t="s">
        <v>80</v>
      </c>
      <c r="E493" s="18" t="s">
        <v>81</v>
      </c>
      <c r="F493" s="19" t="s">
        <v>758</v>
      </c>
      <c r="G493" s="20">
        <v>45386</v>
      </c>
      <c r="H493" s="20">
        <v>45386</v>
      </c>
      <c r="I493" s="20">
        <v>45386</v>
      </c>
      <c r="J493" s="21">
        <v>415</v>
      </c>
      <c r="K493" s="18" t="s">
        <v>83</v>
      </c>
      <c r="L493" s="22">
        <v>128650</v>
      </c>
      <c r="M493" s="23">
        <v>-6063.2</v>
      </c>
      <c r="N493" s="23">
        <v>122586.8</v>
      </c>
      <c r="O493" s="19" t="s">
        <v>22</v>
      </c>
    </row>
    <row r="494" spans="1:15" s="4" customFormat="1" ht="28.5" customHeight="1" x14ac:dyDescent="0.45">
      <c r="A494" s="18" t="s">
        <v>759</v>
      </c>
      <c r="B494" s="18" t="s">
        <v>394</v>
      </c>
      <c r="C494" s="19" t="s">
        <v>395</v>
      </c>
      <c r="D494" s="18" t="s">
        <v>396</v>
      </c>
      <c r="E494" s="18" t="s">
        <v>397</v>
      </c>
      <c r="F494" s="19" t="s">
        <v>760</v>
      </c>
      <c r="G494" s="20">
        <v>45386</v>
      </c>
      <c r="H494" s="20">
        <v>45386</v>
      </c>
      <c r="I494" s="20">
        <v>45386</v>
      </c>
      <c r="J494" s="21">
        <v>100</v>
      </c>
      <c r="K494" s="18" t="s">
        <v>83</v>
      </c>
      <c r="L494" s="22">
        <v>11200</v>
      </c>
      <c r="M494" s="23">
        <v>-527.85</v>
      </c>
      <c r="N494" s="23">
        <v>10672.15</v>
      </c>
      <c r="O494" s="19" t="s">
        <v>22</v>
      </c>
    </row>
    <row r="495" spans="1:15" s="4" customFormat="1" ht="19.25" customHeight="1" x14ac:dyDescent="0.45">
      <c r="A495" s="18" t="s">
        <v>761</v>
      </c>
      <c r="B495" s="18" t="s">
        <v>78</v>
      </c>
      <c r="C495" s="18" t="s">
        <v>79</v>
      </c>
      <c r="D495" s="18" t="s">
        <v>80</v>
      </c>
      <c r="E495" s="18" t="s">
        <v>81</v>
      </c>
      <c r="F495" s="19" t="s">
        <v>762</v>
      </c>
      <c r="G495" s="20">
        <v>45386</v>
      </c>
      <c r="H495" s="20">
        <v>45386</v>
      </c>
      <c r="I495" s="20">
        <v>45386</v>
      </c>
      <c r="J495" s="21">
        <v>5</v>
      </c>
      <c r="K495" s="18" t="s">
        <v>83</v>
      </c>
      <c r="L495" s="22">
        <v>7499.75</v>
      </c>
      <c r="M495" s="23">
        <v>-353.46</v>
      </c>
      <c r="N495" s="23">
        <v>7146.29</v>
      </c>
      <c r="O495" s="19" t="s">
        <v>22</v>
      </c>
    </row>
    <row r="496" spans="1:15" s="4" customFormat="1" ht="19.25" customHeight="1" x14ac:dyDescent="0.45">
      <c r="A496" s="18" t="s">
        <v>763</v>
      </c>
      <c r="B496" s="18" t="s">
        <v>764</v>
      </c>
      <c r="C496" s="18" t="s">
        <v>765</v>
      </c>
      <c r="D496" s="18" t="s">
        <v>766</v>
      </c>
      <c r="E496" s="18" t="s">
        <v>767</v>
      </c>
      <c r="F496" s="19" t="s">
        <v>768</v>
      </c>
      <c r="G496" s="20">
        <v>45386</v>
      </c>
      <c r="H496" s="20">
        <v>45386</v>
      </c>
      <c r="I496" s="20">
        <v>45386</v>
      </c>
      <c r="J496" s="21">
        <v>1</v>
      </c>
      <c r="K496" s="18" t="s">
        <v>90</v>
      </c>
      <c r="L496" s="22">
        <v>359191030</v>
      </c>
      <c r="M496" s="23">
        <v>-16928466.59</v>
      </c>
      <c r="N496" s="23">
        <v>342262563.41000003</v>
      </c>
      <c r="O496" s="19" t="s">
        <v>769</v>
      </c>
    </row>
    <row r="497" spans="1:15" s="4" customFormat="1" ht="34.25" customHeight="1" x14ac:dyDescent="0.45">
      <c r="A497" s="18" t="s">
        <v>770</v>
      </c>
      <c r="B497" s="18" t="s">
        <v>57</v>
      </c>
      <c r="C497" s="19" t="s">
        <v>58</v>
      </c>
      <c r="D497" s="18" t="s">
        <v>59</v>
      </c>
      <c r="E497" s="18" t="s">
        <v>60</v>
      </c>
      <c r="F497" s="19" t="s">
        <v>771</v>
      </c>
      <c r="G497" s="20">
        <v>45386</v>
      </c>
      <c r="H497" s="20">
        <v>45386</v>
      </c>
      <c r="I497" s="20">
        <v>45386</v>
      </c>
      <c r="J497" s="21">
        <v>1</v>
      </c>
      <c r="K497" s="18" t="s">
        <v>90</v>
      </c>
      <c r="L497" s="22">
        <v>6395772.8200000003</v>
      </c>
      <c r="M497" s="23">
        <v>-301429.09000000003</v>
      </c>
      <c r="N497" s="23">
        <v>6094343.7300000004</v>
      </c>
      <c r="O497" s="18" t="s">
        <v>22</v>
      </c>
    </row>
    <row r="498" spans="1:15" s="4" customFormat="1" ht="19.25" customHeight="1" x14ac:dyDescent="0.45">
      <c r="A498" s="18" t="s">
        <v>772</v>
      </c>
      <c r="B498" s="18" t="s">
        <v>423</v>
      </c>
      <c r="C498" s="18" t="s">
        <v>424</v>
      </c>
      <c r="D498" s="18" t="s">
        <v>425</v>
      </c>
      <c r="E498" s="18" t="s">
        <v>426</v>
      </c>
      <c r="F498" s="19" t="s">
        <v>773</v>
      </c>
      <c r="G498" s="20">
        <v>45386</v>
      </c>
      <c r="H498" s="20">
        <v>45386</v>
      </c>
      <c r="I498" s="20">
        <v>45386</v>
      </c>
      <c r="J498" s="21">
        <v>1</v>
      </c>
      <c r="K498" s="18" t="s">
        <v>90</v>
      </c>
      <c r="L498" s="22">
        <v>1344065.8</v>
      </c>
      <c r="M498" s="23">
        <v>-40070.54</v>
      </c>
      <c r="N498" s="23">
        <v>1303995.26</v>
      </c>
      <c r="O498" s="19" t="s">
        <v>22</v>
      </c>
    </row>
    <row r="499" spans="1:15" s="4" customFormat="1" ht="27.4" customHeight="1" x14ac:dyDescent="0.45">
      <c r="A499" s="18" t="s">
        <v>774</v>
      </c>
      <c r="B499" s="18" t="s">
        <v>394</v>
      </c>
      <c r="C499" s="19" t="s">
        <v>395</v>
      </c>
      <c r="D499" s="18" t="s">
        <v>396</v>
      </c>
      <c r="E499" s="18" t="s">
        <v>397</v>
      </c>
      <c r="F499" s="19" t="s">
        <v>775</v>
      </c>
      <c r="G499" s="20">
        <v>45386</v>
      </c>
      <c r="H499" s="20">
        <v>45386</v>
      </c>
      <c r="I499" s="20">
        <v>45386</v>
      </c>
      <c r="J499" s="21">
        <v>1</v>
      </c>
      <c r="K499" s="18" t="s">
        <v>90</v>
      </c>
      <c r="L499" s="22">
        <v>4799607.22</v>
      </c>
      <c r="M499" s="23">
        <v>-226202.73</v>
      </c>
      <c r="N499" s="23">
        <v>4573404.49</v>
      </c>
      <c r="O499" s="18" t="s">
        <v>22</v>
      </c>
    </row>
    <row r="500" spans="1:15" s="4" customFormat="1" ht="19.25" customHeight="1" x14ac:dyDescent="0.45">
      <c r="A500" s="18" t="s">
        <v>776</v>
      </c>
      <c r="B500" s="18" t="s">
        <v>78</v>
      </c>
      <c r="C500" s="18" t="s">
        <v>79</v>
      </c>
      <c r="D500" s="18" t="s">
        <v>80</v>
      </c>
      <c r="E500" s="18" t="s">
        <v>81</v>
      </c>
      <c r="F500" s="19" t="s">
        <v>777</v>
      </c>
      <c r="G500" s="20">
        <v>45386</v>
      </c>
      <c r="H500" s="20">
        <v>45386</v>
      </c>
      <c r="I500" s="20">
        <v>45386</v>
      </c>
      <c r="J500" s="21">
        <v>1</v>
      </c>
      <c r="K500" s="18" t="s">
        <v>90</v>
      </c>
      <c r="L500" s="22">
        <v>907112.59</v>
      </c>
      <c r="M500" s="23">
        <v>-42751.69</v>
      </c>
      <c r="N500" s="23">
        <v>864360.9</v>
      </c>
      <c r="O500" s="19" t="s">
        <v>22</v>
      </c>
    </row>
    <row r="501" spans="1:15" s="4" customFormat="1" ht="19.25" customHeight="1" x14ac:dyDescent="0.45">
      <c r="A501" s="18" t="s">
        <v>778</v>
      </c>
      <c r="B501" s="18" t="s">
        <v>169</v>
      </c>
      <c r="C501" s="18" t="s">
        <v>170</v>
      </c>
      <c r="D501" s="18" t="s">
        <v>171</v>
      </c>
      <c r="E501" s="18" t="s">
        <v>172</v>
      </c>
      <c r="F501" s="19" t="s">
        <v>779</v>
      </c>
      <c r="G501" s="20">
        <v>45386</v>
      </c>
      <c r="H501" s="20">
        <v>45386</v>
      </c>
      <c r="I501" s="20">
        <v>45386</v>
      </c>
      <c r="J501" s="21">
        <v>1</v>
      </c>
      <c r="K501" s="18" t="s">
        <v>90</v>
      </c>
      <c r="L501" s="22">
        <v>52426.67</v>
      </c>
      <c r="M501" s="23">
        <v>-2470.84</v>
      </c>
      <c r="N501" s="23">
        <v>49955.83</v>
      </c>
      <c r="O501" s="19" t="s">
        <v>22</v>
      </c>
    </row>
    <row r="502" spans="1:15" s="4" customFormat="1" ht="19.25" customHeight="1" x14ac:dyDescent="0.45">
      <c r="A502" s="18" t="s">
        <v>780</v>
      </c>
      <c r="B502" s="18" t="s">
        <v>70</v>
      </c>
      <c r="C502" s="18" t="s">
        <v>71</v>
      </c>
      <c r="D502" s="18" t="s">
        <v>72</v>
      </c>
      <c r="E502" s="18" t="s">
        <v>73</v>
      </c>
      <c r="F502" s="19" t="s">
        <v>781</v>
      </c>
      <c r="G502" s="20">
        <v>45386</v>
      </c>
      <c r="H502" s="20">
        <v>45386</v>
      </c>
      <c r="I502" s="20">
        <v>45386</v>
      </c>
      <c r="J502" s="21">
        <v>1</v>
      </c>
      <c r="K502" s="18" t="s">
        <v>90</v>
      </c>
      <c r="L502" s="22">
        <v>97517.27</v>
      </c>
      <c r="M502" s="23">
        <v>-5509.9</v>
      </c>
      <c r="N502" s="23">
        <v>92007.37</v>
      </c>
      <c r="O502" s="18" t="s">
        <v>22</v>
      </c>
    </row>
    <row r="503" spans="1:15" s="4" customFormat="1" ht="19.25" customHeight="1" x14ac:dyDescent="0.45">
      <c r="A503" s="18" t="s">
        <v>782</v>
      </c>
      <c r="B503" s="18" t="s">
        <v>64</v>
      </c>
      <c r="C503" s="18" t="s">
        <v>65</v>
      </c>
      <c r="D503" s="18" t="s">
        <v>66</v>
      </c>
      <c r="E503" s="18" t="s">
        <v>67</v>
      </c>
      <c r="F503" s="19" t="s">
        <v>783</v>
      </c>
      <c r="G503" s="20">
        <v>45386</v>
      </c>
      <c r="H503" s="20">
        <v>45386</v>
      </c>
      <c r="I503" s="20">
        <v>45386</v>
      </c>
      <c r="J503" s="21">
        <v>1</v>
      </c>
      <c r="K503" s="18" t="s">
        <v>90</v>
      </c>
      <c r="L503" s="22">
        <v>210955.91</v>
      </c>
      <c r="M503" s="23">
        <v>-9942.23</v>
      </c>
      <c r="N503" s="23">
        <v>201013.68</v>
      </c>
      <c r="O503" s="18" t="s">
        <v>22</v>
      </c>
    </row>
    <row r="504" spans="1:15" s="4" customFormat="1" ht="19.25" customHeight="1" x14ac:dyDescent="0.45">
      <c r="A504" s="18" t="s">
        <v>784</v>
      </c>
      <c r="B504" s="18" t="s">
        <v>160</v>
      </c>
      <c r="C504" s="18" t="s">
        <v>161</v>
      </c>
      <c r="D504" s="18" t="s">
        <v>162</v>
      </c>
      <c r="E504" s="18" t="s">
        <v>163</v>
      </c>
      <c r="F504" s="19" t="s">
        <v>785</v>
      </c>
      <c r="G504" s="20">
        <v>45386</v>
      </c>
      <c r="H504" s="20">
        <v>45386</v>
      </c>
      <c r="I504" s="20">
        <v>45386</v>
      </c>
      <c r="J504" s="21">
        <v>1</v>
      </c>
      <c r="K504" s="18" t="s">
        <v>90</v>
      </c>
      <c r="L504" s="22">
        <v>856614.89</v>
      </c>
      <c r="M504" s="23">
        <v>-48400.24</v>
      </c>
      <c r="N504" s="23">
        <v>808214.65</v>
      </c>
      <c r="O504" s="19" t="s">
        <v>22</v>
      </c>
    </row>
    <row r="505" spans="1:15" s="4" customFormat="1" ht="19.25" customHeight="1" x14ac:dyDescent="0.45">
      <c r="A505" s="18" t="s">
        <v>786</v>
      </c>
      <c r="B505" s="18" t="s">
        <v>197</v>
      </c>
      <c r="C505" s="18" t="s">
        <v>198</v>
      </c>
      <c r="D505" s="18" t="s">
        <v>199</v>
      </c>
      <c r="E505" s="18" t="s">
        <v>200</v>
      </c>
      <c r="F505" s="19" t="s">
        <v>787</v>
      </c>
      <c r="G505" s="20">
        <v>45386</v>
      </c>
      <c r="H505" s="20">
        <v>45386</v>
      </c>
      <c r="I505" s="20">
        <v>45386</v>
      </c>
      <c r="J505" s="21">
        <v>1</v>
      </c>
      <c r="K505" s="18" t="s">
        <v>90</v>
      </c>
      <c r="L505" s="22">
        <v>128629.53</v>
      </c>
      <c r="M505" s="23">
        <v>-6062.24</v>
      </c>
      <c r="N505" s="23">
        <v>122567.29</v>
      </c>
      <c r="O505" s="19" t="s">
        <v>22</v>
      </c>
    </row>
    <row r="506" spans="1:15" s="4" customFormat="1" ht="19.25" customHeight="1" x14ac:dyDescent="0.45">
      <c r="A506" s="18" t="s">
        <v>788</v>
      </c>
      <c r="B506" s="18" t="s">
        <v>96</v>
      </c>
      <c r="C506" s="18" t="s">
        <v>97</v>
      </c>
      <c r="D506" s="18" t="s">
        <v>98</v>
      </c>
      <c r="E506" s="18" t="s">
        <v>99</v>
      </c>
      <c r="F506" s="19" t="s">
        <v>789</v>
      </c>
      <c r="G506" s="20">
        <v>45386</v>
      </c>
      <c r="H506" s="20">
        <v>45386</v>
      </c>
      <c r="I506" s="20">
        <v>45386</v>
      </c>
      <c r="J506" s="21">
        <v>1</v>
      </c>
      <c r="K506" s="18" t="s">
        <v>90</v>
      </c>
      <c r="L506" s="22">
        <v>108407.5</v>
      </c>
      <c r="M506" s="23">
        <v>-5109.18</v>
      </c>
      <c r="N506" s="23">
        <v>103298.32</v>
      </c>
      <c r="O506" s="18" t="s">
        <v>22</v>
      </c>
    </row>
    <row r="507" spans="1:15" s="4" customFormat="1" ht="19.25" customHeight="1" x14ac:dyDescent="0.45">
      <c r="A507" s="18" t="s">
        <v>790</v>
      </c>
      <c r="B507" s="18" t="s">
        <v>764</v>
      </c>
      <c r="C507" s="18" t="s">
        <v>765</v>
      </c>
      <c r="D507" s="18" t="s">
        <v>766</v>
      </c>
      <c r="E507" s="18" t="s">
        <v>767</v>
      </c>
      <c r="F507" s="19" t="s">
        <v>791</v>
      </c>
      <c r="G507" s="20">
        <v>45386</v>
      </c>
      <c r="H507" s="20">
        <v>45386</v>
      </c>
      <c r="I507" s="20">
        <v>45386</v>
      </c>
      <c r="J507" s="21">
        <v>1</v>
      </c>
      <c r="K507" s="18" t="s">
        <v>90</v>
      </c>
      <c r="L507" s="22">
        <v>17206602.719999999</v>
      </c>
      <c r="M507" s="23">
        <v>-810937.29</v>
      </c>
      <c r="N507" s="23">
        <v>16395665.43</v>
      </c>
      <c r="O507" s="18" t="s">
        <v>22</v>
      </c>
    </row>
    <row r="508" spans="1:15" s="4" customFormat="1" ht="19.25" customHeight="1" x14ac:dyDescent="0.45">
      <c r="A508" s="18" t="s">
        <v>792</v>
      </c>
      <c r="B508" s="18" t="s">
        <v>641</v>
      </c>
      <c r="C508" s="18" t="s">
        <v>642</v>
      </c>
      <c r="D508" s="18" t="s">
        <v>643</v>
      </c>
      <c r="E508" s="18" t="s">
        <v>644</v>
      </c>
      <c r="F508" s="19" t="s">
        <v>793</v>
      </c>
      <c r="G508" s="20">
        <v>45386</v>
      </c>
      <c r="H508" s="20">
        <v>45386</v>
      </c>
      <c r="I508" s="20">
        <v>45386</v>
      </c>
      <c r="J508" s="21">
        <v>1</v>
      </c>
      <c r="K508" s="18" t="s">
        <v>90</v>
      </c>
      <c r="L508" s="22">
        <v>7329.36</v>
      </c>
      <c r="M508" s="23">
        <v>-981.33</v>
      </c>
      <c r="N508" s="23">
        <v>6348.03</v>
      </c>
      <c r="O508" s="18" t="s">
        <v>22</v>
      </c>
    </row>
    <row r="509" spans="1:15" s="4" customFormat="1" ht="19.25" customHeight="1" x14ac:dyDescent="0.45">
      <c r="A509" s="18" t="s">
        <v>794</v>
      </c>
      <c r="B509" s="18" t="s">
        <v>16</v>
      </c>
      <c r="C509" s="18" t="s">
        <v>17</v>
      </c>
      <c r="D509" s="18" t="s">
        <v>18</v>
      </c>
      <c r="E509" s="18" t="s">
        <v>19</v>
      </c>
      <c r="F509" s="19" t="s">
        <v>795</v>
      </c>
      <c r="G509" s="20">
        <v>45386</v>
      </c>
      <c r="H509" s="20">
        <v>45386</v>
      </c>
      <c r="I509" s="20">
        <v>45386</v>
      </c>
      <c r="J509" s="21">
        <v>1</v>
      </c>
      <c r="K509" s="18" t="s">
        <v>90</v>
      </c>
      <c r="L509" s="22">
        <v>657206.02</v>
      </c>
      <c r="M509" s="23">
        <v>-30973.74</v>
      </c>
      <c r="N509" s="23">
        <v>626232.28</v>
      </c>
      <c r="O509" s="18" t="s">
        <v>22</v>
      </c>
    </row>
    <row r="510" spans="1:15" s="4" customFormat="1" ht="31.5" customHeight="1" x14ac:dyDescent="0.45">
      <c r="A510" s="18" t="s">
        <v>796</v>
      </c>
      <c r="B510" s="18" t="s">
        <v>57</v>
      </c>
      <c r="C510" s="19" t="s">
        <v>58</v>
      </c>
      <c r="D510" s="18" t="s">
        <v>59</v>
      </c>
      <c r="E510" s="18" t="s">
        <v>60</v>
      </c>
      <c r="F510" s="19" t="s">
        <v>797</v>
      </c>
      <c r="G510" s="20">
        <v>45717</v>
      </c>
      <c r="H510" s="20">
        <v>45601</v>
      </c>
      <c r="I510" s="20">
        <v>45717</v>
      </c>
      <c r="J510" s="21">
        <v>7.3</v>
      </c>
      <c r="K510" s="18" t="s">
        <v>90</v>
      </c>
      <c r="L510" s="22">
        <v>322864.40000000002</v>
      </c>
      <c r="M510" s="23">
        <v>-1303.06</v>
      </c>
      <c r="N510" s="23">
        <v>321561.34000000003</v>
      </c>
      <c r="O510" s="18" t="s">
        <v>102</v>
      </c>
    </row>
    <row r="511" spans="1:15" s="4" customFormat="1" ht="31.5" customHeight="1" x14ac:dyDescent="0.45">
      <c r="A511" s="18" t="s">
        <v>798</v>
      </c>
      <c r="B511" s="18" t="s">
        <v>57</v>
      </c>
      <c r="C511" s="19" t="s">
        <v>58</v>
      </c>
      <c r="D511" s="18" t="s">
        <v>59</v>
      </c>
      <c r="E511" s="18" t="s">
        <v>60</v>
      </c>
      <c r="F511" s="19" t="s">
        <v>799</v>
      </c>
      <c r="G511" s="20">
        <v>45717</v>
      </c>
      <c r="H511" s="20">
        <v>45566</v>
      </c>
      <c r="I511" s="20">
        <v>45717</v>
      </c>
      <c r="J511" s="21">
        <v>2.4</v>
      </c>
      <c r="K511" s="18" t="s">
        <v>90</v>
      </c>
      <c r="L511" s="22">
        <v>1560000</v>
      </c>
      <c r="M511" s="23">
        <v>-6296.07</v>
      </c>
      <c r="N511" s="23">
        <v>1553703.93</v>
      </c>
      <c r="O511" s="17" t="s">
        <v>22</v>
      </c>
    </row>
    <row r="512" spans="1:15" s="4" customFormat="1" ht="31.5" customHeight="1" x14ac:dyDescent="0.45">
      <c r="A512" s="18" t="s">
        <v>800</v>
      </c>
      <c r="B512" s="18" t="s">
        <v>57</v>
      </c>
      <c r="C512" s="19" t="s">
        <v>58</v>
      </c>
      <c r="D512" s="18" t="s">
        <v>59</v>
      </c>
      <c r="E512" s="18" t="s">
        <v>60</v>
      </c>
      <c r="F512" s="19" t="s">
        <v>801</v>
      </c>
      <c r="G512" s="20">
        <v>45717</v>
      </c>
      <c r="H512" s="20">
        <v>45566</v>
      </c>
      <c r="I512" s="20">
        <v>45717</v>
      </c>
      <c r="J512" s="21">
        <v>5</v>
      </c>
      <c r="K512" s="18" t="s">
        <v>90</v>
      </c>
      <c r="L512" s="22">
        <v>250000</v>
      </c>
      <c r="M512" s="23">
        <v>-1008.99</v>
      </c>
      <c r="N512" s="23">
        <v>248991.01</v>
      </c>
      <c r="O512" s="19" t="s">
        <v>102</v>
      </c>
    </row>
    <row r="513" spans="1:15" s="4" customFormat="1" ht="31.5" customHeight="1" x14ac:dyDescent="0.45">
      <c r="A513" s="18" t="s">
        <v>802</v>
      </c>
      <c r="B513" s="18" t="s">
        <v>57</v>
      </c>
      <c r="C513" s="19" t="s">
        <v>58</v>
      </c>
      <c r="D513" s="18" t="s">
        <v>59</v>
      </c>
      <c r="E513" s="18" t="s">
        <v>60</v>
      </c>
      <c r="F513" s="19" t="s">
        <v>803</v>
      </c>
      <c r="G513" s="20">
        <v>45717</v>
      </c>
      <c r="H513" s="20">
        <v>45566</v>
      </c>
      <c r="I513" s="20">
        <v>45717</v>
      </c>
      <c r="J513" s="21">
        <v>5</v>
      </c>
      <c r="K513" s="18" t="s">
        <v>90</v>
      </c>
      <c r="L513" s="22">
        <v>125000</v>
      </c>
      <c r="M513" s="23">
        <v>-504.49</v>
      </c>
      <c r="N513" s="23">
        <v>124495.51</v>
      </c>
      <c r="O513" s="19" t="s">
        <v>102</v>
      </c>
    </row>
    <row r="514" spans="1:15" s="4" customFormat="1" ht="31.5" customHeight="1" x14ac:dyDescent="0.45">
      <c r="A514" s="18" t="s">
        <v>804</v>
      </c>
      <c r="B514" s="18" t="s">
        <v>57</v>
      </c>
      <c r="C514" s="19" t="s">
        <v>58</v>
      </c>
      <c r="D514" s="18" t="s">
        <v>59</v>
      </c>
      <c r="E514" s="18" t="s">
        <v>60</v>
      </c>
      <c r="F514" s="19" t="s">
        <v>805</v>
      </c>
      <c r="G514" s="20">
        <v>45717</v>
      </c>
      <c r="H514" s="20">
        <v>45566</v>
      </c>
      <c r="I514" s="20">
        <v>45717</v>
      </c>
      <c r="J514" s="21">
        <v>4</v>
      </c>
      <c r="K514" s="18" t="s">
        <v>90</v>
      </c>
      <c r="L514" s="22">
        <v>2560000</v>
      </c>
      <c r="M514" s="23">
        <v>-10332.02</v>
      </c>
      <c r="N514" s="23">
        <v>2549667.98</v>
      </c>
      <c r="O514" s="18" t="s">
        <v>102</v>
      </c>
    </row>
    <row r="515" spans="1:15" s="4" customFormat="1" ht="31.5" customHeight="1" x14ac:dyDescent="0.45">
      <c r="A515" s="18" t="s">
        <v>806</v>
      </c>
      <c r="B515" s="18" t="s">
        <v>57</v>
      </c>
      <c r="C515" s="19" t="s">
        <v>58</v>
      </c>
      <c r="D515" s="18" t="s">
        <v>59</v>
      </c>
      <c r="E515" s="18" t="s">
        <v>60</v>
      </c>
      <c r="F515" s="19" t="s">
        <v>807</v>
      </c>
      <c r="G515" s="20">
        <v>45717</v>
      </c>
      <c r="H515" s="20">
        <v>45566</v>
      </c>
      <c r="I515" s="20">
        <v>45717</v>
      </c>
      <c r="J515" s="21">
        <v>1</v>
      </c>
      <c r="K515" s="18" t="s">
        <v>90</v>
      </c>
      <c r="L515" s="22">
        <v>420000</v>
      </c>
      <c r="M515" s="23">
        <v>-1695.1</v>
      </c>
      <c r="N515" s="23">
        <v>418304.9</v>
      </c>
      <c r="O515" s="18" t="s">
        <v>22</v>
      </c>
    </row>
    <row r="516" spans="1:15" s="4" customFormat="1" ht="31.5" customHeight="1" x14ac:dyDescent="0.45">
      <c r="A516" s="18" t="s">
        <v>808</v>
      </c>
      <c r="B516" s="18" t="s">
        <v>57</v>
      </c>
      <c r="C516" s="19" t="s">
        <v>58</v>
      </c>
      <c r="D516" s="18" t="s">
        <v>59</v>
      </c>
      <c r="E516" s="18" t="s">
        <v>60</v>
      </c>
      <c r="F516" s="19" t="s">
        <v>809</v>
      </c>
      <c r="G516" s="20">
        <v>45717</v>
      </c>
      <c r="H516" s="20">
        <v>45566</v>
      </c>
      <c r="I516" s="20">
        <v>45717</v>
      </c>
      <c r="J516" s="21">
        <v>1</v>
      </c>
      <c r="K516" s="18" t="s">
        <v>90</v>
      </c>
      <c r="L516" s="22">
        <v>56500</v>
      </c>
      <c r="M516" s="23">
        <v>-228.03</v>
      </c>
      <c r="N516" s="23">
        <v>56271.97</v>
      </c>
      <c r="O516" s="17" t="s">
        <v>22</v>
      </c>
    </row>
    <row r="517" spans="1:15" s="4" customFormat="1" ht="31.5" customHeight="1" x14ac:dyDescent="0.45">
      <c r="A517" s="18" t="s">
        <v>810</v>
      </c>
      <c r="B517" s="18" t="s">
        <v>57</v>
      </c>
      <c r="C517" s="19" t="s">
        <v>58</v>
      </c>
      <c r="D517" s="18" t="s">
        <v>59</v>
      </c>
      <c r="E517" s="18" t="s">
        <v>60</v>
      </c>
      <c r="F517" s="19" t="s">
        <v>811</v>
      </c>
      <c r="G517" s="20">
        <v>45717</v>
      </c>
      <c r="H517" s="20">
        <v>45609</v>
      </c>
      <c r="I517" s="20">
        <v>45717</v>
      </c>
      <c r="J517" s="21">
        <v>1</v>
      </c>
      <c r="K517" s="18" t="s">
        <v>90</v>
      </c>
      <c r="L517" s="22">
        <v>550000.02</v>
      </c>
      <c r="M517" s="23">
        <v>-2219.77</v>
      </c>
      <c r="N517" s="23">
        <v>547780.25</v>
      </c>
      <c r="O517" s="18" t="s">
        <v>102</v>
      </c>
    </row>
    <row r="518" spans="1:15" s="4" customFormat="1" ht="31.5" customHeight="1" x14ac:dyDescent="0.45">
      <c r="A518" s="18" t="s">
        <v>812</v>
      </c>
      <c r="B518" s="18" t="s">
        <v>57</v>
      </c>
      <c r="C518" s="19" t="s">
        <v>58</v>
      </c>
      <c r="D518" s="18" t="s">
        <v>59</v>
      </c>
      <c r="E518" s="18" t="s">
        <v>60</v>
      </c>
      <c r="F518" s="19" t="s">
        <v>813</v>
      </c>
      <c r="G518" s="20">
        <v>45717</v>
      </c>
      <c r="H518" s="20">
        <v>45609</v>
      </c>
      <c r="I518" s="20">
        <v>45717</v>
      </c>
      <c r="J518" s="21">
        <v>0.5</v>
      </c>
      <c r="K518" s="18" t="s">
        <v>90</v>
      </c>
      <c r="L518" s="22">
        <v>982499.48</v>
      </c>
      <c r="M518" s="23">
        <v>-3965.31</v>
      </c>
      <c r="N518" s="23">
        <v>978534.17</v>
      </c>
      <c r="O518" s="17" t="s">
        <v>22</v>
      </c>
    </row>
    <row r="519" spans="1:15" s="4" customFormat="1" ht="31.5" customHeight="1" x14ac:dyDescent="0.45">
      <c r="A519" s="18" t="s">
        <v>814</v>
      </c>
      <c r="B519" s="18" t="s">
        <v>57</v>
      </c>
      <c r="C519" s="19" t="s">
        <v>58</v>
      </c>
      <c r="D519" s="18" t="s">
        <v>59</v>
      </c>
      <c r="E519" s="18" t="s">
        <v>60</v>
      </c>
      <c r="F519" s="19" t="s">
        <v>815</v>
      </c>
      <c r="G519" s="20">
        <v>45717</v>
      </c>
      <c r="H519" s="20">
        <v>45609</v>
      </c>
      <c r="I519" s="20">
        <v>45717</v>
      </c>
      <c r="J519" s="21">
        <v>0.81</v>
      </c>
      <c r="K519" s="18" t="s">
        <v>90</v>
      </c>
      <c r="L519" s="22">
        <v>750870</v>
      </c>
      <c r="M519" s="23">
        <v>-3030.47</v>
      </c>
      <c r="N519" s="23">
        <v>747839.53</v>
      </c>
      <c r="O519" s="19" t="s">
        <v>22</v>
      </c>
    </row>
    <row r="520" spans="1:15" s="4" customFormat="1" ht="31.5" customHeight="1" x14ac:dyDescent="0.45">
      <c r="A520" s="18" t="s">
        <v>816</v>
      </c>
      <c r="B520" s="18" t="s">
        <v>394</v>
      </c>
      <c r="C520" s="19" t="s">
        <v>395</v>
      </c>
      <c r="D520" s="18" t="s">
        <v>396</v>
      </c>
      <c r="E520" s="18" t="s">
        <v>397</v>
      </c>
      <c r="F520" s="19" t="s">
        <v>817</v>
      </c>
      <c r="G520" s="20">
        <v>45717</v>
      </c>
      <c r="H520" s="20">
        <v>45579</v>
      </c>
      <c r="I520" s="20">
        <v>45717</v>
      </c>
      <c r="J520" s="21">
        <v>2</v>
      </c>
      <c r="K520" s="18" t="s">
        <v>83</v>
      </c>
      <c r="L520" s="22">
        <v>32358.48</v>
      </c>
      <c r="M520" s="23">
        <v>-130.6</v>
      </c>
      <c r="N520" s="23">
        <v>32227.88</v>
      </c>
      <c r="O520" s="18" t="s">
        <v>22</v>
      </c>
    </row>
    <row r="521" spans="1:15" s="4" customFormat="1" ht="31.5" customHeight="1" x14ac:dyDescent="0.45">
      <c r="A521" s="18" t="s">
        <v>818</v>
      </c>
      <c r="B521" s="18" t="s">
        <v>160</v>
      </c>
      <c r="C521" s="19" t="s">
        <v>161</v>
      </c>
      <c r="D521" s="18" t="s">
        <v>162</v>
      </c>
      <c r="E521" s="18" t="s">
        <v>163</v>
      </c>
      <c r="F521" s="19" t="s">
        <v>819</v>
      </c>
      <c r="G521" s="20">
        <v>45717</v>
      </c>
      <c r="H521" s="20">
        <v>45579</v>
      </c>
      <c r="I521" s="20">
        <v>45717</v>
      </c>
      <c r="J521" s="21">
        <v>3</v>
      </c>
      <c r="K521" s="18" t="s">
        <v>83</v>
      </c>
      <c r="L521" s="22">
        <v>304997.27</v>
      </c>
      <c r="M521" s="23">
        <v>-1475.74</v>
      </c>
      <c r="N521" s="23">
        <v>303521.53000000003</v>
      </c>
      <c r="O521" s="18" t="s">
        <v>22</v>
      </c>
    </row>
    <row r="522" spans="1:15" s="4" customFormat="1" ht="19.25" customHeight="1" x14ac:dyDescent="0.45">
      <c r="A522" s="18" t="s">
        <v>820</v>
      </c>
      <c r="B522" s="18" t="s">
        <v>169</v>
      </c>
      <c r="C522" s="18" t="s">
        <v>170</v>
      </c>
      <c r="D522" s="18" t="s">
        <v>171</v>
      </c>
      <c r="E522" s="18" t="s">
        <v>172</v>
      </c>
      <c r="F522" s="19" t="s">
        <v>821</v>
      </c>
      <c r="G522" s="20">
        <v>45717</v>
      </c>
      <c r="H522" s="20">
        <v>45579</v>
      </c>
      <c r="I522" s="20">
        <v>45717</v>
      </c>
      <c r="J522" s="21">
        <v>1</v>
      </c>
      <c r="K522" s="18" t="s">
        <v>83</v>
      </c>
      <c r="L522" s="22">
        <v>30000.02</v>
      </c>
      <c r="M522" s="23">
        <v>-121.08</v>
      </c>
      <c r="N522" s="23">
        <v>29878.94</v>
      </c>
      <c r="O522" s="18" t="s">
        <v>22</v>
      </c>
    </row>
    <row r="523" spans="1:15" s="4" customFormat="1" ht="19.25" customHeight="1" x14ac:dyDescent="0.45">
      <c r="A523" s="18" t="s">
        <v>822</v>
      </c>
      <c r="B523" s="18" t="s">
        <v>169</v>
      </c>
      <c r="C523" s="18" t="s">
        <v>170</v>
      </c>
      <c r="D523" s="18" t="s">
        <v>171</v>
      </c>
      <c r="E523" s="18" t="s">
        <v>172</v>
      </c>
      <c r="F523" s="19" t="s">
        <v>823</v>
      </c>
      <c r="G523" s="20">
        <v>45717</v>
      </c>
      <c r="H523" s="20">
        <v>45579</v>
      </c>
      <c r="I523" s="20">
        <v>45717</v>
      </c>
      <c r="J523" s="21">
        <v>1</v>
      </c>
      <c r="K523" s="18" t="s">
        <v>83</v>
      </c>
      <c r="L523" s="22">
        <v>25002</v>
      </c>
      <c r="M523" s="23">
        <v>-100.91</v>
      </c>
      <c r="N523" s="23">
        <v>24901.09</v>
      </c>
      <c r="O523" s="18" t="s">
        <v>22</v>
      </c>
    </row>
    <row r="524" spans="1:15" s="4" customFormat="1" ht="35.35" customHeight="1" x14ac:dyDescent="0.45">
      <c r="A524" s="18" t="s">
        <v>824</v>
      </c>
      <c r="B524" s="18" t="s">
        <v>394</v>
      </c>
      <c r="C524" s="18" t="s">
        <v>395</v>
      </c>
      <c r="D524" s="18" t="s">
        <v>396</v>
      </c>
      <c r="E524" s="19" t="s">
        <v>397</v>
      </c>
      <c r="F524" s="19" t="s">
        <v>825</v>
      </c>
      <c r="G524" s="20">
        <v>45717</v>
      </c>
      <c r="H524" s="20">
        <v>45579</v>
      </c>
      <c r="I524" s="20">
        <v>45717</v>
      </c>
      <c r="J524" s="21">
        <v>1</v>
      </c>
      <c r="K524" s="18" t="s">
        <v>83</v>
      </c>
      <c r="L524" s="22">
        <v>26354.05</v>
      </c>
      <c r="M524" s="23">
        <v>-106.36</v>
      </c>
      <c r="N524" s="23">
        <v>26247.69</v>
      </c>
      <c r="O524" s="18" t="s">
        <v>22</v>
      </c>
    </row>
    <row r="525" spans="1:15" s="4" customFormat="1" ht="35.35" customHeight="1" x14ac:dyDescent="0.45">
      <c r="A525" s="18" t="s">
        <v>826</v>
      </c>
      <c r="B525" s="18" t="s">
        <v>394</v>
      </c>
      <c r="C525" s="18" t="s">
        <v>395</v>
      </c>
      <c r="D525" s="18" t="s">
        <v>396</v>
      </c>
      <c r="E525" s="19" t="s">
        <v>397</v>
      </c>
      <c r="F525" s="19" t="s">
        <v>827</v>
      </c>
      <c r="G525" s="20">
        <v>45717</v>
      </c>
      <c r="H525" s="20">
        <v>45579</v>
      </c>
      <c r="I525" s="20">
        <v>45717</v>
      </c>
      <c r="J525" s="21">
        <v>1</v>
      </c>
      <c r="K525" s="18" t="s">
        <v>83</v>
      </c>
      <c r="L525" s="22">
        <v>26354.05</v>
      </c>
      <c r="M525" s="23">
        <v>-106.36</v>
      </c>
      <c r="N525" s="23">
        <v>26247.69</v>
      </c>
      <c r="O525" s="18" t="s">
        <v>22</v>
      </c>
    </row>
    <row r="526" spans="1:15" s="4" customFormat="1" ht="35.35" customHeight="1" x14ac:dyDescent="0.45">
      <c r="A526" s="18" t="s">
        <v>828</v>
      </c>
      <c r="B526" s="18" t="s">
        <v>394</v>
      </c>
      <c r="C526" s="18" t="s">
        <v>395</v>
      </c>
      <c r="D526" s="18" t="s">
        <v>396</v>
      </c>
      <c r="E526" s="19" t="s">
        <v>397</v>
      </c>
      <c r="F526" s="19" t="s">
        <v>829</v>
      </c>
      <c r="G526" s="20">
        <v>45717</v>
      </c>
      <c r="H526" s="20">
        <v>45579</v>
      </c>
      <c r="I526" s="20">
        <v>45717</v>
      </c>
      <c r="J526" s="21">
        <v>1</v>
      </c>
      <c r="K526" s="18" t="s">
        <v>83</v>
      </c>
      <c r="L526" s="22">
        <v>26354.05</v>
      </c>
      <c r="M526" s="23">
        <v>-106.36</v>
      </c>
      <c r="N526" s="23">
        <v>26247.69</v>
      </c>
      <c r="O526" s="18" t="s">
        <v>22</v>
      </c>
    </row>
    <row r="527" spans="1:15" s="4" customFormat="1" ht="35.35" customHeight="1" x14ac:dyDescent="0.45">
      <c r="A527" s="18" t="s">
        <v>830</v>
      </c>
      <c r="B527" s="18" t="s">
        <v>394</v>
      </c>
      <c r="C527" s="18" t="s">
        <v>395</v>
      </c>
      <c r="D527" s="18" t="s">
        <v>396</v>
      </c>
      <c r="E527" s="19" t="s">
        <v>397</v>
      </c>
      <c r="F527" s="19" t="s">
        <v>827</v>
      </c>
      <c r="G527" s="20">
        <v>45717</v>
      </c>
      <c r="H527" s="20">
        <v>45579</v>
      </c>
      <c r="I527" s="20">
        <v>45717</v>
      </c>
      <c r="J527" s="21">
        <v>1</v>
      </c>
      <c r="K527" s="18" t="s">
        <v>83</v>
      </c>
      <c r="L527" s="22">
        <v>26354.05</v>
      </c>
      <c r="M527" s="23">
        <v>-106.36</v>
      </c>
      <c r="N527" s="23">
        <v>26247.69</v>
      </c>
      <c r="O527" s="18" t="s">
        <v>22</v>
      </c>
    </row>
    <row r="528" spans="1:15" s="4" customFormat="1" ht="35.35" customHeight="1" x14ac:dyDescent="0.45">
      <c r="A528" s="18" t="s">
        <v>831</v>
      </c>
      <c r="B528" s="18" t="s">
        <v>394</v>
      </c>
      <c r="C528" s="18" t="s">
        <v>395</v>
      </c>
      <c r="D528" s="18" t="s">
        <v>396</v>
      </c>
      <c r="E528" s="19" t="s">
        <v>397</v>
      </c>
      <c r="F528" s="19" t="s">
        <v>825</v>
      </c>
      <c r="G528" s="20">
        <v>45717</v>
      </c>
      <c r="H528" s="20">
        <v>45579</v>
      </c>
      <c r="I528" s="20">
        <v>45717</v>
      </c>
      <c r="J528" s="21">
        <v>1</v>
      </c>
      <c r="K528" s="18" t="s">
        <v>83</v>
      </c>
      <c r="L528" s="22">
        <v>26354.05</v>
      </c>
      <c r="M528" s="23">
        <v>-106.36</v>
      </c>
      <c r="N528" s="23">
        <v>26247.69</v>
      </c>
      <c r="O528" s="18" t="s">
        <v>22</v>
      </c>
    </row>
    <row r="529" spans="1:15" s="4" customFormat="1" ht="35.35" customHeight="1" x14ac:dyDescent="0.45">
      <c r="A529" s="18" t="s">
        <v>832</v>
      </c>
      <c r="B529" s="18" t="s">
        <v>394</v>
      </c>
      <c r="C529" s="18" t="s">
        <v>395</v>
      </c>
      <c r="D529" s="18" t="s">
        <v>396</v>
      </c>
      <c r="E529" s="19" t="s">
        <v>397</v>
      </c>
      <c r="F529" s="19" t="s">
        <v>833</v>
      </c>
      <c r="G529" s="20">
        <v>45717</v>
      </c>
      <c r="H529" s="20">
        <v>45579</v>
      </c>
      <c r="I529" s="20">
        <v>45717</v>
      </c>
      <c r="J529" s="21">
        <v>1</v>
      </c>
      <c r="K529" s="18" t="s">
        <v>83</v>
      </c>
      <c r="L529" s="22">
        <v>1045000</v>
      </c>
      <c r="M529" s="23">
        <v>-4217.5600000000004</v>
      </c>
      <c r="N529" s="23">
        <v>1040782.44</v>
      </c>
      <c r="O529" s="18" t="s">
        <v>102</v>
      </c>
    </row>
    <row r="530" spans="1:15" s="4" customFormat="1" ht="35.35" customHeight="1" x14ac:dyDescent="0.45">
      <c r="A530" s="18" t="s">
        <v>834</v>
      </c>
      <c r="B530" s="18" t="s">
        <v>394</v>
      </c>
      <c r="C530" s="18" t="s">
        <v>395</v>
      </c>
      <c r="D530" s="18" t="s">
        <v>396</v>
      </c>
      <c r="E530" s="19" t="s">
        <v>397</v>
      </c>
      <c r="F530" s="19" t="s">
        <v>835</v>
      </c>
      <c r="G530" s="20">
        <v>45717</v>
      </c>
      <c r="H530" s="20">
        <v>45579</v>
      </c>
      <c r="I530" s="20">
        <v>45717</v>
      </c>
      <c r="J530" s="21">
        <v>1</v>
      </c>
      <c r="K530" s="18" t="s">
        <v>83</v>
      </c>
      <c r="L530" s="22">
        <v>1045000</v>
      </c>
      <c r="M530" s="23">
        <v>-4217.5600000000004</v>
      </c>
      <c r="N530" s="23">
        <v>1040782.44</v>
      </c>
      <c r="O530" s="18" t="s">
        <v>22</v>
      </c>
    </row>
    <row r="531" spans="1:15" s="4" customFormat="1" ht="19.25" customHeight="1" x14ac:dyDescent="0.45">
      <c r="A531" s="18" t="s">
        <v>836</v>
      </c>
      <c r="B531" s="18" t="s">
        <v>197</v>
      </c>
      <c r="C531" s="18" t="s">
        <v>198</v>
      </c>
      <c r="D531" s="18" t="s">
        <v>199</v>
      </c>
      <c r="E531" s="18" t="s">
        <v>200</v>
      </c>
      <c r="F531" s="19" t="s">
        <v>271</v>
      </c>
      <c r="G531" s="20">
        <v>45717</v>
      </c>
      <c r="H531" s="20">
        <v>45659</v>
      </c>
      <c r="I531" s="20">
        <v>45717</v>
      </c>
      <c r="J531" s="21">
        <v>1</v>
      </c>
      <c r="K531" s="18" t="s">
        <v>90</v>
      </c>
      <c r="L531" s="22">
        <v>236494.92</v>
      </c>
      <c r="M531" s="23">
        <v>-954.48</v>
      </c>
      <c r="N531" s="23">
        <v>235540.44</v>
      </c>
      <c r="O531" s="18" t="s">
        <v>22</v>
      </c>
    </row>
    <row r="532" spans="1:15" s="4" customFormat="1" ht="19.25" customHeight="1" x14ac:dyDescent="0.45">
      <c r="A532" s="18" t="s">
        <v>837</v>
      </c>
      <c r="B532" s="18" t="s">
        <v>57</v>
      </c>
      <c r="C532" s="18" t="s">
        <v>58</v>
      </c>
      <c r="D532" s="18" t="s">
        <v>59</v>
      </c>
      <c r="E532" s="18" t="s">
        <v>60</v>
      </c>
      <c r="F532" s="19" t="s">
        <v>271</v>
      </c>
      <c r="G532" s="20">
        <v>45717</v>
      </c>
      <c r="H532" s="20">
        <v>45590</v>
      </c>
      <c r="I532" s="20">
        <v>45717</v>
      </c>
      <c r="J532" s="21">
        <v>1</v>
      </c>
      <c r="K532" s="18" t="s">
        <v>83</v>
      </c>
      <c r="L532" s="22">
        <v>619144.06000000006</v>
      </c>
      <c r="M532" s="23">
        <v>-2498.83</v>
      </c>
      <c r="N532" s="23">
        <v>616645.23</v>
      </c>
      <c r="O532" s="18" t="s">
        <v>22</v>
      </c>
    </row>
    <row r="533" spans="1:15" s="4" customFormat="1" ht="25.5" customHeight="1" x14ac:dyDescent="0.45">
      <c r="A533" s="18" t="s">
        <v>838</v>
      </c>
      <c r="B533" s="18" t="s">
        <v>78</v>
      </c>
      <c r="C533" s="18" t="s">
        <v>79</v>
      </c>
      <c r="D533" s="18" t="s">
        <v>80</v>
      </c>
      <c r="E533" s="19" t="s">
        <v>81</v>
      </c>
      <c r="F533" s="19" t="s">
        <v>839</v>
      </c>
      <c r="G533" s="20">
        <v>45717</v>
      </c>
      <c r="H533" s="20">
        <v>45517</v>
      </c>
      <c r="I533" s="20">
        <v>45717</v>
      </c>
      <c r="J533" s="21">
        <v>1</v>
      </c>
      <c r="K533" s="18" t="s">
        <v>90</v>
      </c>
      <c r="L533" s="22">
        <v>176351.78</v>
      </c>
      <c r="M533" s="23">
        <v>-711.75</v>
      </c>
      <c r="N533" s="23">
        <v>175640.03</v>
      </c>
      <c r="O533" s="18" t="s">
        <v>22</v>
      </c>
    </row>
    <row r="534" spans="1:15" s="4" customFormat="1" ht="25.5" customHeight="1" x14ac:dyDescent="0.45">
      <c r="A534" s="18" t="s">
        <v>840</v>
      </c>
      <c r="B534" s="18" t="s">
        <v>78</v>
      </c>
      <c r="C534" s="18" t="s">
        <v>79</v>
      </c>
      <c r="D534" s="18" t="s">
        <v>80</v>
      </c>
      <c r="E534" s="19" t="s">
        <v>81</v>
      </c>
      <c r="F534" s="19" t="s">
        <v>841</v>
      </c>
      <c r="G534" s="20">
        <v>45717</v>
      </c>
      <c r="H534" s="20">
        <v>45517</v>
      </c>
      <c r="I534" s="20">
        <v>45717</v>
      </c>
      <c r="J534" s="21">
        <v>1</v>
      </c>
      <c r="K534" s="18" t="s">
        <v>90</v>
      </c>
      <c r="L534" s="22">
        <v>118937.2</v>
      </c>
      <c r="M534" s="23">
        <v>-480.02</v>
      </c>
      <c r="N534" s="23">
        <v>118457.18</v>
      </c>
      <c r="O534" s="18" t="s">
        <v>22</v>
      </c>
    </row>
    <row r="535" spans="1:15" s="4" customFormat="1" ht="25.5" customHeight="1" x14ac:dyDescent="0.45">
      <c r="A535" s="18" t="s">
        <v>842</v>
      </c>
      <c r="B535" s="18" t="s">
        <v>78</v>
      </c>
      <c r="C535" s="18" t="s">
        <v>79</v>
      </c>
      <c r="D535" s="18" t="s">
        <v>80</v>
      </c>
      <c r="E535" s="19" t="s">
        <v>81</v>
      </c>
      <c r="F535" s="19" t="s">
        <v>843</v>
      </c>
      <c r="G535" s="20">
        <v>45717</v>
      </c>
      <c r="H535" s="20">
        <v>45517</v>
      </c>
      <c r="I535" s="20">
        <v>45717</v>
      </c>
      <c r="J535" s="21">
        <v>1</v>
      </c>
      <c r="K535" s="18" t="s">
        <v>90</v>
      </c>
      <c r="L535" s="22">
        <v>11000</v>
      </c>
      <c r="M535" s="23">
        <v>-44.4</v>
      </c>
      <c r="N535" s="23">
        <v>10955.6</v>
      </c>
      <c r="O535" s="18" t="s">
        <v>22</v>
      </c>
    </row>
    <row r="536" spans="1:15" s="4" customFormat="1" ht="19.25" customHeight="1" x14ac:dyDescent="0.45">
      <c r="A536" s="18" t="s">
        <v>844</v>
      </c>
      <c r="B536" s="18" t="s">
        <v>96</v>
      </c>
      <c r="C536" s="18" t="s">
        <v>97</v>
      </c>
      <c r="D536" s="18" t="s">
        <v>98</v>
      </c>
      <c r="E536" s="18" t="s">
        <v>99</v>
      </c>
      <c r="F536" s="19" t="s">
        <v>845</v>
      </c>
      <c r="G536" s="20">
        <v>45717</v>
      </c>
      <c r="H536" s="20">
        <v>45569</v>
      </c>
      <c r="I536" s="20">
        <v>45717</v>
      </c>
      <c r="J536" s="21">
        <v>1</v>
      </c>
      <c r="K536" s="18" t="s">
        <v>150</v>
      </c>
      <c r="L536" s="22">
        <v>13047.46</v>
      </c>
      <c r="M536" s="23">
        <v>-52.66</v>
      </c>
      <c r="N536" s="23">
        <v>12994.8</v>
      </c>
      <c r="O536" s="18" t="s">
        <v>22</v>
      </c>
    </row>
    <row r="537" spans="1:15" s="4" customFormat="1" ht="19.25" customHeight="1" x14ac:dyDescent="0.45">
      <c r="A537" s="18" t="s">
        <v>846</v>
      </c>
      <c r="B537" s="18" t="s">
        <v>423</v>
      </c>
      <c r="C537" s="18" t="s">
        <v>424</v>
      </c>
      <c r="D537" s="18" t="s">
        <v>425</v>
      </c>
      <c r="E537" s="18" t="s">
        <v>426</v>
      </c>
      <c r="F537" s="19" t="s">
        <v>847</v>
      </c>
      <c r="G537" s="20">
        <v>45717</v>
      </c>
      <c r="H537" s="20">
        <v>45717</v>
      </c>
      <c r="I537" s="20">
        <v>45717</v>
      </c>
      <c r="J537" s="21">
        <v>1</v>
      </c>
      <c r="K537" s="18" t="s">
        <v>90</v>
      </c>
      <c r="L537" s="22">
        <v>9624674.5800000001</v>
      </c>
      <c r="M537" s="23">
        <v>-24572.19</v>
      </c>
      <c r="N537" s="23">
        <v>9600102.3900000006</v>
      </c>
      <c r="O537" s="19" t="s">
        <v>22</v>
      </c>
    </row>
    <row r="538" spans="1:15" s="4" customFormat="1" ht="19.25" customHeight="1" x14ac:dyDescent="0.45">
      <c r="A538" s="18" t="s">
        <v>848</v>
      </c>
      <c r="B538" s="18" t="s">
        <v>423</v>
      </c>
      <c r="C538" s="18" t="s">
        <v>424</v>
      </c>
      <c r="D538" s="18" t="s">
        <v>425</v>
      </c>
      <c r="E538" s="18" t="s">
        <v>426</v>
      </c>
      <c r="F538" s="19" t="s">
        <v>849</v>
      </c>
      <c r="G538" s="20">
        <v>45717</v>
      </c>
      <c r="H538" s="20">
        <v>45717</v>
      </c>
      <c r="I538" s="20">
        <v>45717</v>
      </c>
      <c r="J538" s="21">
        <v>1</v>
      </c>
      <c r="K538" s="18" t="s">
        <v>21</v>
      </c>
      <c r="L538" s="22">
        <v>17639.830000000002</v>
      </c>
      <c r="M538" s="23">
        <v>-45.04</v>
      </c>
      <c r="N538" s="23">
        <v>17594.79</v>
      </c>
      <c r="O538" s="19" t="s">
        <v>22</v>
      </c>
    </row>
    <row r="539" spans="1:15" s="4" customFormat="1" ht="19.25" customHeight="1" x14ac:dyDescent="0.45">
      <c r="A539" s="18" t="s">
        <v>850</v>
      </c>
      <c r="B539" s="18" t="s">
        <v>423</v>
      </c>
      <c r="C539" s="18" t="s">
        <v>424</v>
      </c>
      <c r="D539" s="18" t="s">
        <v>425</v>
      </c>
      <c r="E539" s="18" t="s">
        <v>426</v>
      </c>
      <c r="F539" s="19" t="s">
        <v>851</v>
      </c>
      <c r="G539" s="20">
        <v>45717</v>
      </c>
      <c r="H539" s="20">
        <v>45717</v>
      </c>
      <c r="I539" s="20">
        <v>45717</v>
      </c>
      <c r="J539" s="21">
        <v>1</v>
      </c>
      <c r="K539" s="18" t="s">
        <v>21</v>
      </c>
      <c r="L539" s="22">
        <v>14700</v>
      </c>
      <c r="M539" s="23">
        <v>-37.53</v>
      </c>
      <c r="N539" s="23">
        <v>14662.47</v>
      </c>
      <c r="O539" s="19" t="s">
        <v>22</v>
      </c>
    </row>
    <row r="540" spans="1:15" s="4" customFormat="1" ht="22.5" customHeight="1" x14ac:dyDescent="0.45">
      <c r="A540" s="18" t="s">
        <v>852</v>
      </c>
      <c r="B540" s="18" t="s">
        <v>57</v>
      </c>
      <c r="C540" s="18" t="s">
        <v>58</v>
      </c>
      <c r="D540" s="18" t="s">
        <v>59</v>
      </c>
      <c r="E540" s="19" t="s">
        <v>60</v>
      </c>
      <c r="F540" s="19" t="s">
        <v>853</v>
      </c>
      <c r="G540" s="20">
        <v>45717</v>
      </c>
      <c r="H540" s="20">
        <v>45717</v>
      </c>
      <c r="I540" s="20">
        <v>45717</v>
      </c>
      <c r="J540" s="21">
        <v>1</v>
      </c>
      <c r="K540" s="18" t="s">
        <v>21</v>
      </c>
      <c r="L540" s="22">
        <v>540109.31999999995</v>
      </c>
      <c r="M540" s="23">
        <v>-2179.85</v>
      </c>
      <c r="N540" s="23">
        <v>537929.47</v>
      </c>
      <c r="O540" s="18" t="s">
        <v>102</v>
      </c>
    </row>
    <row r="541" spans="1:15" x14ac:dyDescent="0.45">
      <c r="A541" s="25"/>
      <c r="B541" s="25"/>
      <c r="C541" s="25"/>
      <c r="D541" s="25"/>
      <c r="E541" s="25"/>
      <c r="F541" s="26"/>
      <c r="G541" s="25"/>
      <c r="H541" s="25"/>
      <c r="I541" s="25"/>
      <c r="J541" s="25"/>
      <c r="K541" s="25"/>
      <c r="L541" s="27"/>
      <c r="M541" s="25"/>
      <c r="N541" s="25"/>
      <c r="O541" s="28"/>
    </row>
  </sheetData>
  <mergeCells count="1">
    <mergeCell ref="A1:O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FA</vt:lpstr>
      <vt:lpstr>Dep</vt:lpstr>
      <vt:lpstr>FAR Mar-25</vt:lpstr>
      <vt:lpstr>Dep!Print_Area</vt:lpstr>
      <vt:lpstr>FA!Print_Area</vt:lpstr>
      <vt:lpstr>'FAR Mar-25'!Print_Titles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Jitendra Bhanushali</dc:creator>
  <cp:lastModifiedBy>Pramod Burle</cp:lastModifiedBy>
  <cp:lastPrinted>2025-12-03T08:37:43Z</cp:lastPrinted>
  <dcterms:created xsi:type="dcterms:W3CDTF">2025-11-25T15:29:24Z</dcterms:created>
  <dcterms:modified xsi:type="dcterms:W3CDTF">2026-01-08T09:43:11Z</dcterms:modified>
</cp:coreProperties>
</file>